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САП, НАВЧАННЯ, КОНТАКТ-ЦЕНТР\Сайт\ОНОВЛЕННЯ САЙТУ\Небаланс\"/>
    </mc:Choice>
  </mc:AlternateContent>
  <bookViews>
    <workbookView xWindow="0" yWindow="0" windowWidth="19200" windowHeight="8325"/>
  </bookViews>
  <sheets>
    <sheet name="ЗМІНИ КОДЕКСУ ЗПТ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7" l="1"/>
  <c r="Q15" i="7"/>
  <c r="Q14" i="7"/>
  <c r="Q13" i="7"/>
  <c r="Q12" i="7"/>
  <c r="Q11" i="7"/>
  <c r="Q10" i="7"/>
  <c r="Q9" i="7"/>
  <c r="Q8" i="7"/>
  <c r="Q7" i="7"/>
  <c r="Q6" i="7"/>
  <c r="Q5" i="7"/>
  <c r="B4" i="7"/>
  <c r="I4" i="7" l="1"/>
  <c r="H4" i="7"/>
  <c r="P23" i="7" l="1"/>
  <c r="P22" i="7"/>
  <c r="P19" i="7"/>
  <c r="P18" i="7"/>
  <c r="J16" i="7"/>
  <c r="K16" i="7" s="1"/>
  <c r="B16" i="7"/>
  <c r="J15" i="7"/>
  <c r="K15" i="7" s="1"/>
  <c r="B15" i="7"/>
  <c r="J14" i="7"/>
  <c r="K14" i="7" s="1"/>
  <c r="B14" i="7"/>
  <c r="J13" i="7"/>
  <c r="K13" i="7" s="1"/>
  <c r="B13" i="7"/>
  <c r="J12" i="7"/>
  <c r="K12" i="7" s="1"/>
  <c r="B12" i="7"/>
  <c r="J11" i="7"/>
  <c r="K11" i="7" s="1"/>
  <c r="B11" i="7"/>
  <c r="J10" i="7"/>
  <c r="K10" i="7" s="1"/>
  <c r="B10" i="7"/>
  <c r="J9" i="7"/>
  <c r="K9" i="7" s="1"/>
  <c r="B9" i="7"/>
  <c r="J8" i="7"/>
  <c r="K8" i="7" s="1"/>
  <c r="B8" i="7"/>
  <c r="J7" i="7"/>
  <c r="K7" i="7" s="1"/>
  <c r="B7" i="7"/>
  <c r="J6" i="7"/>
  <c r="K6" i="7" s="1"/>
  <c r="B6" i="7"/>
  <c r="J5" i="7"/>
  <c r="K5" i="7" s="1"/>
  <c r="B5" i="7"/>
  <c r="J4" i="7"/>
  <c r="K4" i="7" s="1"/>
  <c r="M4" i="7" s="1"/>
  <c r="H7" i="7" l="1"/>
  <c r="L7" i="7" s="1"/>
  <c r="N7" i="7" s="1"/>
  <c r="I7" i="7"/>
  <c r="O9" i="7"/>
  <c r="I9" i="7"/>
  <c r="M9" i="7" s="1"/>
  <c r="H9" i="7"/>
  <c r="O11" i="7"/>
  <c r="I11" i="7"/>
  <c r="M11" i="7" s="1"/>
  <c r="H11" i="7"/>
  <c r="O13" i="7"/>
  <c r="I13" i="7"/>
  <c r="H13" i="7"/>
  <c r="I8" i="7"/>
  <c r="H8" i="7"/>
  <c r="L8" i="7" s="1"/>
  <c r="N8" i="7" s="1"/>
  <c r="O10" i="7"/>
  <c r="I10" i="7"/>
  <c r="H10" i="7"/>
  <c r="L10" i="7" s="1"/>
  <c r="I12" i="7"/>
  <c r="H12" i="7"/>
  <c r="O14" i="7"/>
  <c r="H14" i="7"/>
  <c r="I14" i="7"/>
  <c r="H16" i="7"/>
  <c r="L16" i="7" s="1"/>
  <c r="I16" i="7"/>
  <c r="M16" i="7" s="1"/>
  <c r="O6" i="7"/>
  <c r="I6" i="7"/>
  <c r="H6" i="7"/>
  <c r="O5" i="7"/>
  <c r="I5" i="7"/>
  <c r="H5" i="7"/>
  <c r="L5" i="7" s="1"/>
  <c r="N5" i="7" s="1"/>
  <c r="O15" i="7"/>
  <c r="I15" i="7"/>
  <c r="M15" i="7" s="1"/>
  <c r="H15" i="7"/>
  <c r="L6" i="7"/>
  <c r="L14" i="7"/>
  <c r="N14" i="7" s="1"/>
  <c r="O4" i="7"/>
  <c r="L4" i="7"/>
  <c r="N4" i="7" s="1"/>
  <c r="M8" i="7"/>
  <c r="O8" i="7"/>
  <c r="M7" i="7"/>
  <c r="L13" i="7"/>
  <c r="N13" i="7" s="1"/>
  <c r="P13" i="7" s="1"/>
  <c r="L9" i="7"/>
  <c r="O7" i="7"/>
  <c r="M14" i="7"/>
  <c r="M10" i="7"/>
  <c r="M6" i="7"/>
  <c r="L12" i="7"/>
  <c r="N12" i="7" s="1"/>
  <c r="M12" i="7"/>
  <c r="O16" i="7"/>
  <c r="O12" i="7"/>
  <c r="M13" i="7"/>
  <c r="M5" i="7"/>
  <c r="L15" i="7"/>
  <c r="N15" i="7" s="1"/>
  <c r="L11" i="7"/>
  <c r="N16" i="7" l="1"/>
  <c r="P16" i="7" s="1"/>
  <c r="N10" i="7"/>
  <c r="P10" i="7" s="1"/>
  <c r="N9" i="7"/>
  <c r="P9" i="7" s="1"/>
  <c r="N11" i="7"/>
  <c r="P11" i="7" s="1"/>
  <c r="N6" i="7"/>
  <c r="P6" i="7" s="1"/>
  <c r="P14" i="7"/>
  <c r="P4" i="7"/>
  <c r="Q4" i="7" s="1"/>
  <c r="P5" i="7"/>
  <c r="P8" i="7"/>
  <c r="P12" i="7"/>
  <c r="P7" i="7"/>
  <c r="P15" i="7"/>
</calcChain>
</file>

<file path=xl/sharedStrings.xml><?xml version="1.0" encoding="utf-8"?>
<sst xmlns="http://schemas.openxmlformats.org/spreadsheetml/2006/main" count="49" uniqueCount="38">
  <si>
    <t xml:space="preserve">Дата </t>
  </si>
  <si>
    <t>ціни закупівлі  газу оператором</t>
  </si>
  <si>
    <t>Вартість небалансу</t>
  </si>
  <si>
    <t>маржинальна ціна придбання + 10%</t>
  </si>
  <si>
    <t>маржинальна ціна придбання + 20%</t>
  </si>
  <si>
    <t>маржинальна ціна продажу - 20%</t>
  </si>
  <si>
    <t>ПЛЮС</t>
  </si>
  <si>
    <t>МІНУС</t>
  </si>
  <si>
    <t>до 3%</t>
  </si>
  <si>
    <t>Знак небалансу</t>
  </si>
  <si>
    <t>3% включно</t>
  </si>
  <si>
    <t>5% включно</t>
  </si>
  <si>
    <t>5% не включно</t>
  </si>
  <si>
    <t>маржинальна ціна продажу - 10%</t>
  </si>
  <si>
    <t>2=3-5</t>
  </si>
  <si>
    <t>8=ЕСЛИ(2&gt;0;7*0,03;6*0,03)</t>
  </si>
  <si>
    <t>9=ЕСЛИ(2&gt;0;7*0,05;6*0,05)</t>
  </si>
  <si>
    <t>10=4-5</t>
  </si>
  <si>
    <t>11=ABS(10)</t>
  </si>
  <si>
    <t>12=8+11</t>
  </si>
  <si>
    <t>13=9+11</t>
  </si>
  <si>
    <t>ЦІНА з ПДВ</t>
  </si>
  <si>
    <t>Якщо ПОЗИТИВНИЙ НЕБАЛАНС - ТО ВИХІД БЕЗ ТС</t>
  </si>
  <si>
    <t>Якщо НЕГАТИВНИЙ НЕБАЛАНС - ТО ВХІД БЕЗ ТС</t>
  </si>
  <si>
    <t>більше 5%</t>
  </si>
  <si>
    <t>більше 3% до 5%</t>
  </si>
  <si>
    <t>Позитивний/негативний добовий небаланс ВХІД - ВИХІД, куб.м.</t>
  </si>
  <si>
    <t>ВХІД, куб.м.</t>
  </si>
  <si>
    <t>ВИХІД попередня щодобова алокація відборів/ споживання, куб.м.</t>
  </si>
  <si>
    <t>ВИХІД остаточна щодобова алокація відборів/ споживання, куб.м.</t>
  </si>
  <si>
    <t>ВХІД (без ТС) ВХІД - ТС, куб.м.</t>
  </si>
  <si>
    <t>ВИХІД (без ТС) ВИХІД -ТС, куб.м.</t>
  </si>
  <si>
    <t>ДОПУСТИМЕ ВІДХИЛЕННЯ 3%, куб.м.</t>
  </si>
  <si>
    <t>ДОПУСТИМЕ ВІДХИЛЕННЯ 5%, куб.м.</t>
  </si>
  <si>
    <t>Різниця між попередньою і остаточною алокацією, куб.м.</t>
  </si>
  <si>
    <t>Модуль різниці між попередньою і остаточною алокацією, куб.м.</t>
  </si>
  <si>
    <t>ОСТАТОЧНЕ ДОПУСТИМЕ ВІДХИЛЕННЯ ДЛЯ 3%, куб.м.</t>
  </si>
  <si>
    <t>ОСТАТОЧНЕ ДОПУСТИМЕ ВІДХИЛЕННЯ ДЛЯ 5%,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</si>
</sst>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/>
    <xf numFmtId="43" fontId="3" fillId="0" borderId="1" xfId="1" applyFont="1" applyFill="1" applyBorder="1" applyAlignment="1">
      <alignment horizontal="right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3" borderId="1" xfId="1" applyFont="1" applyFill="1" applyBorder="1" applyAlignment="1">
      <alignment vertical="center"/>
    </xf>
    <xf numFmtId="43" fontId="3" fillId="0" borderId="1" xfId="1" applyFont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CCFF"/>
      <color rgb="FFFFCC99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Normal="100" workbookViewId="0">
      <pane xSplit="2" ySplit="3" topLeftCell="C4" activePane="bottomRight" state="frozen"/>
      <selection activeCell="Q4" sqref="Q4"/>
      <selection pane="topRight" activeCell="Q4" sqref="Q4"/>
      <selection pane="bottomLeft" activeCell="Q4" sqref="Q4"/>
      <selection pane="bottomRight" activeCell="B4" sqref="B4"/>
    </sheetView>
  </sheetViews>
  <sheetFormatPr defaultRowHeight="15" x14ac:dyDescent="0.25"/>
  <cols>
    <col min="1" max="1" width="10.85546875" bestFit="1" customWidth="1"/>
    <col min="2" max="2" width="14.42578125" customWidth="1"/>
    <col min="3" max="3" width="14.85546875" bestFit="1" customWidth="1"/>
    <col min="4" max="4" width="16.7109375" bestFit="1" customWidth="1"/>
    <col min="5" max="5" width="17" customWidth="1"/>
    <col min="6" max="6" width="15" bestFit="1" customWidth="1"/>
    <col min="7" max="7" width="16.42578125" bestFit="1" customWidth="1"/>
    <col min="8" max="9" width="14.5703125" bestFit="1" customWidth="1"/>
    <col min="10" max="10" width="15" customWidth="1"/>
    <col min="11" max="11" width="16.140625" style="1" customWidth="1"/>
    <col min="12" max="13" width="16.28515625" customWidth="1"/>
    <col min="14" max="14" width="16.42578125" bestFit="1" customWidth="1"/>
    <col min="15" max="15" width="13" customWidth="1"/>
    <col min="16" max="16" width="14.42578125" customWidth="1"/>
    <col min="17" max="17" width="17" customWidth="1"/>
    <col min="18" max="18" width="17.28515625" bestFit="1" customWidth="1"/>
    <col min="19" max="19" width="13.7109375" bestFit="1" customWidth="1"/>
    <col min="20" max="20" width="15.140625" bestFit="1" customWidth="1"/>
    <col min="21" max="21" width="16" bestFit="1" customWidth="1"/>
    <col min="22" max="22" width="13.7109375" bestFit="1" customWidth="1"/>
    <col min="23" max="23" width="14.5703125" bestFit="1" customWidth="1"/>
    <col min="24" max="24" width="11.7109375" bestFit="1" customWidth="1"/>
    <col min="25" max="25" width="16.7109375" bestFit="1" customWidth="1"/>
  </cols>
  <sheetData>
    <row r="1" spans="1:17" x14ac:dyDescent="0.25">
      <c r="B1" s="15" t="s">
        <v>14</v>
      </c>
      <c r="H1" t="s">
        <v>15</v>
      </c>
      <c r="I1" t="s">
        <v>16</v>
      </c>
      <c r="J1" t="s">
        <v>17</v>
      </c>
      <c r="K1" s="1" t="s">
        <v>18</v>
      </c>
      <c r="L1" t="s">
        <v>19</v>
      </c>
      <c r="M1" t="s">
        <v>20</v>
      </c>
    </row>
    <row r="2" spans="1:17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</row>
    <row r="3" spans="1:17" s="2" customFormat="1" ht="90" customHeight="1" x14ac:dyDescent="0.25">
      <c r="A3" s="5" t="s">
        <v>0</v>
      </c>
      <c r="B3" s="14" t="s">
        <v>26</v>
      </c>
      <c r="C3" s="5" t="s">
        <v>27</v>
      </c>
      <c r="D3" s="14" t="s">
        <v>28</v>
      </c>
      <c r="E3" s="14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3" t="s">
        <v>34</v>
      </c>
      <c r="K3" s="5" t="s">
        <v>35</v>
      </c>
      <c r="L3" s="5" t="s">
        <v>36</v>
      </c>
      <c r="M3" s="5" t="s">
        <v>37</v>
      </c>
      <c r="N3" s="5"/>
      <c r="O3" s="5" t="s">
        <v>9</v>
      </c>
      <c r="P3" s="5" t="s">
        <v>21</v>
      </c>
      <c r="Q3" s="6" t="s">
        <v>2</v>
      </c>
    </row>
    <row r="4" spans="1:17" x14ac:dyDescent="0.25">
      <c r="A4" s="4">
        <v>44105</v>
      </c>
      <c r="B4" s="19">
        <f t="shared" ref="B4:B16" si="0">C4-E4</f>
        <v>120000</v>
      </c>
      <c r="C4" s="17">
        <v>750000</v>
      </c>
      <c r="D4" s="17">
        <v>600000</v>
      </c>
      <c r="E4" s="17">
        <v>630000</v>
      </c>
      <c r="F4" s="17">
        <v>0</v>
      </c>
      <c r="G4" s="17">
        <v>630000</v>
      </c>
      <c r="H4" s="9">
        <f>IF($B4&gt;0,$G4*0.03,$F4*0.03)</f>
        <v>18900</v>
      </c>
      <c r="I4" s="9">
        <f>IF($B4&gt;0,$G4*0.05,$F4*0.05)</f>
        <v>31500</v>
      </c>
      <c r="J4" s="9">
        <f t="shared" ref="J4:J16" si="1">D4-E4</f>
        <v>-30000</v>
      </c>
      <c r="K4" s="18">
        <f t="shared" ref="K4:K16" si="2">ABS(J4)</f>
        <v>30000</v>
      </c>
      <c r="L4" s="9">
        <f>K4+H4</f>
        <v>48900</v>
      </c>
      <c r="M4" s="9">
        <f>K4+I4</f>
        <v>61500</v>
      </c>
      <c r="N4" s="13" t="str">
        <f>IF(ABS(B4)&lt;=L4,"до 3%",IF(ABS(B4)&gt;M4,"більше 5%","більше 3% до 5%"))</f>
        <v>більше 5%</v>
      </c>
      <c r="O4" s="7" t="str">
        <f t="shared" ref="O4:O16" si="3">IF(B4&lt;0,"МІНУС","ПЛЮС")</f>
        <v>ПЛЮС</v>
      </c>
      <c r="P4" s="8">
        <f t="shared" ref="P4:P16" si="4">SUMIFS($P$18:$P$23,$O$18:$O$23,O4,$N$18:$N$23,N4)</f>
        <v>7017.880000000001</v>
      </c>
      <c r="Q4" s="9">
        <f>B4*P4/1000</f>
        <v>842145.60000000009</v>
      </c>
    </row>
    <row r="5" spans="1:17" x14ac:dyDescent="0.25">
      <c r="A5" s="4">
        <v>44106</v>
      </c>
      <c r="B5" s="19">
        <f t="shared" si="0"/>
        <v>-10000</v>
      </c>
      <c r="C5" s="17">
        <v>500000</v>
      </c>
      <c r="D5" s="17">
        <v>600000</v>
      </c>
      <c r="E5" s="17">
        <v>510000</v>
      </c>
      <c r="F5" s="17">
        <v>0</v>
      </c>
      <c r="G5" s="17">
        <v>570000</v>
      </c>
      <c r="H5" s="9">
        <f t="shared" ref="H5:H16" si="5">IF($B5&gt;0,$G5*0.03,$F5*0.03)</f>
        <v>0</v>
      </c>
      <c r="I5" s="9">
        <f t="shared" ref="I5:I16" si="6">IF($B5&gt;0,$G5*0.05,$F5*0.05)</f>
        <v>0</v>
      </c>
      <c r="J5" s="9">
        <f t="shared" si="1"/>
        <v>90000</v>
      </c>
      <c r="K5" s="18">
        <f t="shared" si="2"/>
        <v>90000</v>
      </c>
      <c r="L5" s="9">
        <f t="shared" ref="L5:L16" si="7">K5+H5</f>
        <v>90000</v>
      </c>
      <c r="M5" s="9">
        <f t="shared" ref="M5:M16" si="8">K5+I5</f>
        <v>90000</v>
      </c>
      <c r="N5" s="13" t="str">
        <f t="shared" ref="N5:N16" si="9">IF(ABS(B5)&lt;=L5,"до 3%",IF(ABS(B5)&gt;M5,"більше 5%","більше 3% до 5%"))</f>
        <v>до 3%</v>
      </c>
      <c r="O5" s="7" t="str">
        <f t="shared" si="3"/>
        <v>МІНУС</v>
      </c>
      <c r="P5" s="8">
        <f t="shared" si="4"/>
        <v>8772.35</v>
      </c>
      <c r="Q5" s="9">
        <f t="shared" ref="Q5:Q16" si="10">B5*P5/1000</f>
        <v>-87723.5</v>
      </c>
    </row>
    <row r="6" spans="1:17" x14ac:dyDescent="0.25">
      <c r="A6" s="4">
        <v>44107</v>
      </c>
      <c r="B6" s="19">
        <f t="shared" si="0"/>
        <v>-20000</v>
      </c>
      <c r="C6" s="17">
        <v>588000</v>
      </c>
      <c r="D6" s="17">
        <v>620000</v>
      </c>
      <c r="E6" s="17">
        <v>608000</v>
      </c>
      <c r="F6" s="17">
        <v>200000</v>
      </c>
      <c r="G6" s="17">
        <v>630000</v>
      </c>
      <c r="H6" s="9">
        <f t="shared" si="5"/>
        <v>6000</v>
      </c>
      <c r="I6" s="9">
        <f t="shared" si="6"/>
        <v>10000</v>
      </c>
      <c r="J6" s="9">
        <f t="shared" si="1"/>
        <v>12000</v>
      </c>
      <c r="K6" s="18">
        <f t="shared" si="2"/>
        <v>12000</v>
      </c>
      <c r="L6" s="9">
        <f t="shared" si="7"/>
        <v>18000</v>
      </c>
      <c r="M6" s="9">
        <f t="shared" si="8"/>
        <v>22000</v>
      </c>
      <c r="N6" s="13" t="str">
        <f t="shared" si="9"/>
        <v>більше 3% до 5%</v>
      </c>
      <c r="O6" s="7" t="str">
        <f t="shared" si="3"/>
        <v>МІНУС</v>
      </c>
      <c r="P6" s="8">
        <f t="shared" si="4"/>
        <v>9649.5850000000009</v>
      </c>
      <c r="Q6" s="9">
        <f t="shared" si="10"/>
        <v>-192991.70000000004</v>
      </c>
    </row>
    <row r="7" spans="1:17" x14ac:dyDescent="0.25">
      <c r="A7" s="4">
        <v>44108</v>
      </c>
      <c r="B7" s="19">
        <f t="shared" si="0"/>
        <v>10000</v>
      </c>
      <c r="C7" s="17">
        <v>600000</v>
      </c>
      <c r="D7" s="17">
        <v>580000</v>
      </c>
      <c r="E7" s="17">
        <v>590000</v>
      </c>
      <c r="F7" s="17">
        <v>0</v>
      </c>
      <c r="G7" s="17">
        <v>590000</v>
      </c>
      <c r="H7" s="9">
        <f>IF($B7&gt;0,$G7*0.03,$F7*0.03)</f>
        <v>17700</v>
      </c>
      <c r="I7" s="9">
        <f t="shared" si="6"/>
        <v>29500</v>
      </c>
      <c r="J7" s="9">
        <f t="shared" si="1"/>
        <v>-10000</v>
      </c>
      <c r="K7" s="18">
        <f t="shared" si="2"/>
        <v>10000</v>
      </c>
      <c r="L7" s="9">
        <f t="shared" si="7"/>
        <v>27700</v>
      </c>
      <c r="M7" s="9">
        <f t="shared" si="8"/>
        <v>39500</v>
      </c>
      <c r="N7" s="13" t="str">
        <f t="shared" si="9"/>
        <v>до 3%</v>
      </c>
      <c r="O7" s="7" t="str">
        <f t="shared" si="3"/>
        <v>ПЛЮС</v>
      </c>
      <c r="P7" s="8">
        <f t="shared" si="4"/>
        <v>8772.35</v>
      </c>
      <c r="Q7" s="9">
        <f t="shared" si="10"/>
        <v>87723.5</v>
      </c>
    </row>
    <row r="8" spans="1:17" ht="14.25" customHeight="1" x14ac:dyDescent="0.25">
      <c r="A8" s="4">
        <v>44109</v>
      </c>
      <c r="B8" s="19">
        <f t="shared" si="0"/>
        <v>30000</v>
      </c>
      <c r="C8" s="17">
        <v>600000</v>
      </c>
      <c r="D8" s="17">
        <v>580000</v>
      </c>
      <c r="E8" s="17">
        <v>570000</v>
      </c>
      <c r="F8" s="17">
        <v>0</v>
      </c>
      <c r="G8" s="17">
        <v>505000</v>
      </c>
      <c r="H8" s="9">
        <f t="shared" si="5"/>
        <v>15150</v>
      </c>
      <c r="I8" s="9">
        <f t="shared" si="6"/>
        <v>25250</v>
      </c>
      <c r="J8" s="9">
        <f t="shared" si="1"/>
        <v>10000</v>
      </c>
      <c r="K8" s="18">
        <f t="shared" si="2"/>
        <v>10000</v>
      </c>
      <c r="L8" s="9">
        <f t="shared" si="7"/>
        <v>25150</v>
      </c>
      <c r="M8" s="9">
        <f t="shared" si="8"/>
        <v>35250</v>
      </c>
      <c r="N8" s="13" t="str">
        <f t="shared" si="9"/>
        <v>більше 3% до 5%</v>
      </c>
      <c r="O8" s="7" t="str">
        <f t="shared" si="3"/>
        <v>ПЛЮС</v>
      </c>
      <c r="P8" s="8">
        <f t="shared" si="4"/>
        <v>7895.1150000000007</v>
      </c>
      <c r="Q8" s="9">
        <f t="shared" si="10"/>
        <v>236853.45000000004</v>
      </c>
    </row>
    <row r="9" spans="1:17" x14ac:dyDescent="0.25">
      <c r="A9" s="4">
        <v>44110</v>
      </c>
      <c r="B9" s="19">
        <f t="shared" si="0"/>
        <v>180000</v>
      </c>
      <c r="C9" s="17">
        <v>600000</v>
      </c>
      <c r="D9" s="17">
        <v>400000</v>
      </c>
      <c r="E9" s="17">
        <v>420000</v>
      </c>
      <c r="F9" s="17">
        <v>0</v>
      </c>
      <c r="G9" s="17">
        <v>0</v>
      </c>
      <c r="H9" s="9">
        <f t="shared" si="5"/>
        <v>0</v>
      </c>
      <c r="I9" s="9">
        <f t="shared" si="6"/>
        <v>0</v>
      </c>
      <c r="J9" s="9">
        <f t="shared" si="1"/>
        <v>-20000</v>
      </c>
      <c r="K9" s="18">
        <f t="shared" si="2"/>
        <v>20000</v>
      </c>
      <c r="L9" s="9">
        <f t="shared" si="7"/>
        <v>20000</v>
      </c>
      <c r="M9" s="9">
        <f t="shared" si="8"/>
        <v>20000</v>
      </c>
      <c r="N9" s="13" t="str">
        <f t="shared" si="9"/>
        <v>більше 5%</v>
      </c>
      <c r="O9" s="7" t="str">
        <f t="shared" si="3"/>
        <v>ПЛЮС</v>
      </c>
      <c r="P9" s="8">
        <f t="shared" si="4"/>
        <v>7017.880000000001</v>
      </c>
      <c r="Q9" s="9">
        <f t="shared" si="10"/>
        <v>1263218.4000000001</v>
      </c>
    </row>
    <row r="10" spans="1:17" x14ac:dyDescent="0.25">
      <c r="A10" s="4">
        <v>44111</v>
      </c>
      <c r="B10" s="19">
        <f t="shared" si="0"/>
        <v>10000</v>
      </c>
      <c r="C10" s="17">
        <v>600000</v>
      </c>
      <c r="D10" s="17">
        <v>580000</v>
      </c>
      <c r="E10" s="17">
        <v>590000</v>
      </c>
      <c r="F10" s="17">
        <v>600000</v>
      </c>
      <c r="G10" s="17">
        <v>0</v>
      </c>
      <c r="H10" s="9">
        <f t="shared" si="5"/>
        <v>0</v>
      </c>
      <c r="I10" s="9">
        <f t="shared" si="6"/>
        <v>0</v>
      </c>
      <c r="J10" s="9">
        <f t="shared" si="1"/>
        <v>-10000</v>
      </c>
      <c r="K10" s="18">
        <f t="shared" si="2"/>
        <v>10000</v>
      </c>
      <c r="L10" s="9">
        <f t="shared" si="7"/>
        <v>10000</v>
      </c>
      <c r="M10" s="9">
        <f t="shared" si="8"/>
        <v>10000</v>
      </c>
      <c r="N10" s="13" t="str">
        <f t="shared" si="9"/>
        <v>до 3%</v>
      </c>
      <c r="O10" s="7" t="str">
        <f t="shared" si="3"/>
        <v>ПЛЮС</v>
      </c>
      <c r="P10" s="8">
        <f t="shared" si="4"/>
        <v>8772.35</v>
      </c>
      <c r="Q10" s="9">
        <f t="shared" si="10"/>
        <v>87723.5</v>
      </c>
    </row>
    <row r="11" spans="1:17" x14ac:dyDescent="0.25">
      <c r="A11" s="4">
        <v>44112</v>
      </c>
      <c r="B11" s="19">
        <f t="shared" si="0"/>
        <v>10000</v>
      </c>
      <c r="C11" s="17">
        <v>600000</v>
      </c>
      <c r="D11" s="17">
        <v>580000</v>
      </c>
      <c r="E11" s="17">
        <v>590000</v>
      </c>
      <c r="F11" s="17">
        <v>600000</v>
      </c>
      <c r="G11" s="17">
        <v>200000</v>
      </c>
      <c r="H11" s="9">
        <f t="shared" si="5"/>
        <v>6000</v>
      </c>
      <c r="I11" s="9">
        <f t="shared" si="6"/>
        <v>10000</v>
      </c>
      <c r="J11" s="9">
        <f t="shared" si="1"/>
        <v>-10000</v>
      </c>
      <c r="K11" s="18">
        <f t="shared" si="2"/>
        <v>10000</v>
      </c>
      <c r="L11" s="9">
        <f t="shared" si="7"/>
        <v>16000</v>
      </c>
      <c r="M11" s="9">
        <f t="shared" si="8"/>
        <v>20000</v>
      </c>
      <c r="N11" s="13" t="str">
        <f t="shared" si="9"/>
        <v>до 3%</v>
      </c>
      <c r="O11" s="7" t="str">
        <f t="shared" si="3"/>
        <v>ПЛЮС</v>
      </c>
      <c r="P11" s="8">
        <f t="shared" si="4"/>
        <v>8772.35</v>
      </c>
      <c r="Q11" s="9">
        <f t="shared" si="10"/>
        <v>87723.5</v>
      </c>
    </row>
    <row r="12" spans="1:17" x14ac:dyDescent="0.25">
      <c r="A12" s="4">
        <v>44113</v>
      </c>
      <c r="B12" s="19">
        <f t="shared" si="0"/>
        <v>-18000</v>
      </c>
      <c r="C12" s="17">
        <v>600000</v>
      </c>
      <c r="D12" s="17">
        <v>620000</v>
      </c>
      <c r="E12" s="17">
        <v>618000</v>
      </c>
      <c r="F12" s="17">
        <v>600000</v>
      </c>
      <c r="G12" s="17">
        <v>0</v>
      </c>
      <c r="H12" s="9">
        <f t="shared" si="5"/>
        <v>18000</v>
      </c>
      <c r="I12" s="9">
        <f t="shared" si="6"/>
        <v>30000</v>
      </c>
      <c r="J12" s="9">
        <f t="shared" si="1"/>
        <v>2000</v>
      </c>
      <c r="K12" s="18">
        <f t="shared" si="2"/>
        <v>2000</v>
      </c>
      <c r="L12" s="9">
        <f t="shared" si="7"/>
        <v>20000</v>
      </c>
      <c r="M12" s="9">
        <f t="shared" si="8"/>
        <v>32000</v>
      </c>
      <c r="N12" s="13" t="str">
        <f t="shared" si="9"/>
        <v>до 3%</v>
      </c>
      <c r="O12" s="7" t="str">
        <f t="shared" si="3"/>
        <v>МІНУС</v>
      </c>
      <c r="P12" s="8">
        <f t="shared" si="4"/>
        <v>8772.35</v>
      </c>
      <c r="Q12" s="9">
        <f t="shared" si="10"/>
        <v>-157902.29999999999</v>
      </c>
    </row>
    <row r="13" spans="1:17" x14ac:dyDescent="0.25">
      <c r="A13" s="4">
        <v>44114</v>
      </c>
      <c r="B13" s="19">
        <f t="shared" si="0"/>
        <v>-5000</v>
      </c>
      <c r="C13" s="17">
        <v>600000</v>
      </c>
      <c r="D13" s="17">
        <v>605000</v>
      </c>
      <c r="E13" s="17">
        <v>605000</v>
      </c>
      <c r="F13" s="17">
        <v>600000</v>
      </c>
      <c r="G13" s="17">
        <v>0</v>
      </c>
      <c r="H13" s="9">
        <f t="shared" si="5"/>
        <v>18000</v>
      </c>
      <c r="I13" s="9">
        <f t="shared" si="6"/>
        <v>30000</v>
      </c>
      <c r="J13" s="9">
        <f t="shared" si="1"/>
        <v>0</v>
      </c>
      <c r="K13" s="18">
        <f t="shared" si="2"/>
        <v>0</v>
      </c>
      <c r="L13" s="9">
        <f t="shared" si="7"/>
        <v>18000</v>
      </c>
      <c r="M13" s="9">
        <f t="shared" si="8"/>
        <v>30000</v>
      </c>
      <c r="N13" s="13" t="str">
        <f t="shared" si="9"/>
        <v>до 3%</v>
      </c>
      <c r="O13" s="7" t="str">
        <f t="shared" si="3"/>
        <v>МІНУС</v>
      </c>
      <c r="P13" s="8">
        <f t="shared" si="4"/>
        <v>8772.35</v>
      </c>
      <c r="Q13" s="9">
        <f t="shared" si="10"/>
        <v>-43861.75</v>
      </c>
    </row>
    <row r="14" spans="1:17" x14ac:dyDescent="0.25">
      <c r="A14" s="4">
        <v>44115</v>
      </c>
      <c r="B14" s="20">
        <f t="shared" si="0"/>
        <v>-150000</v>
      </c>
      <c r="C14" s="17">
        <v>600000</v>
      </c>
      <c r="D14" s="17">
        <v>750000</v>
      </c>
      <c r="E14" s="17">
        <v>750000</v>
      </c>
      <c r="F14" s="17">
        <v>600000</v>
      </c>
      <c r="G14" s="17">
        <v>0</v>
      </c>
      <c r="H14" s="9">
        <f>IF($B14&gt;0,$G14*0.03,$F14*0.03)</f>
        <v>18000</v>
      </c>
      <c r="I14" s="9">
        <f t="shared" si="6"/>
        <v>30000</v>
      </c>
      <c r="J14" s="9">
        <f t="shared" si="1"/>
        <v>0</v>
      </c>
      <c r="K14" s="18">
        <f t="shared" si="2"/>
        <v>0</v>
      </c>
      <c r="L14" s="9">
        <f t="shared" si="7"/>
        <v>18000</v>
      </c>
      <c r="M14" s="9">
        <f t="shared" si="8"/>
        <v>30000</v>
      </c>
      <c r="N14" s="13" t="str">
        <f t="shared" si="9"/>
        <v>більше 5%</v>
      </c>
      <c r="O14" s="7" t="str">
        <f t="shared" si="3"/>
        <v>МІНУС</v>
      </c>
      <c r="P14" s="8">
        <f t="shared" si="4"/>
        <v>10526.82</v>
      </c>
      <c r="Q14" s="9">
        <f t="shared" si="10"/>
        <v>-1579023</v>
      </c>
    </row>
    <row r="15" spans="1:17" x14ac:dyDescent="0.25">
      <c r="A15" s="4">
        <v>44116</v>
      </c>
      <c r="B15" s="20">
        <f t="shared" si="0"/>
        <v>-80000</v>
      </c>
      <c r="C15" s="17">
        <v>770000</v>
      </c>
      <c r="D15" s="17">
        <v>800000</v>
      </c>
      <c r="E15" s="17">
        <v>850000</v>
      </c>
      <c r="F15" s="17">
        <v>600000</v>
      </c>
      <c r="G15" s="17">
        <v>0</v>
      </c>
      <c r="H15" s="9">
        <f t="shared" si="5"/>
        <v>18000</v>
      </c>
      <c r="I15" s="9">
        <f t="shared" si="6"/>
        <v>30000</v>
      </c>
      <c r="J15" s="9">
        <f t="shared" si="1"/>
        <v>-50000</v>
      </c>
      <c r="K15" s="18">
        <f t="shared" si="2"/>
        <v>50000</v>
      </c>
      <c r="L15" s="9">
        <f t="shared" si="7"/>
        <v>68000</v>
      </c>
      <c r="M15" s="9">
        <f t="shared" si="8"/>
        <v>80000</v>
      </c>
      <c r="N15" s="13" t="str">
        <f t="shared" si="9"/>
        <v>більше 3% до 5%</v>
      </c>
      <c r="O15" s="7" t="str">
        <f t="shared" si="3"/>
        <v>МІНУС</v>
      </c>
      <c r="P15" s="8">
        <f t="shared" si="4"/>
        <v>9649.5850000000009</v>
      </c>
      <c r="Q15" s="9">
        <f t="shared" si="10"/>
        <v>-771966.80000000016</v>
      </c>
    </row>
    <row r="16" spans="1:17" x14ac:dyDescent="0.25">
      <c r="A16" s="4">
        <v>44117</v>
      </c>
      <c r="B16" s="19">
        <f t="shared" si="0"/>
        <v>-150000</v>
      </c>
      <c r="C16" s="17">
        <v>600000</v>
      </c>
      <c r="D16" s="17">
        <v>800000</v>
      </c>
      <c r="E16" s="17">
        <v>750000</v>
      </c>
      <c r="F16" s="17">
        <v>600000</v>
      </c>
      <c r="G16" s="17">
        <v>0</v>
      </c>
      <c r="H16" s="9">
        <f t="shared" si="5"/>
        <v>18000</v>
      </c>
      <c r="I16" s="9">
        <f t="shared" si="6"/>
        <v>30000</v>
      </c>
      <c r="J16" s="9">
        <f t="shared" si="1"/>
        <v>50000</v>
      </c>
      <c r="K16" s="18">
        <f t="shared" si="2"/>
        <v>50000</v>
      </c>
      <c r="L16" s="9">
        <f t="shared" si="7"/>
        <v>68000</v>
      </c>
      <c r="M16" s="9">
        <f t="shared" si="8"/>
        <v>80000</v>
      </c>
      <c r="N16" s="13" t="str">
        <f t="shared" si="9"/>
        <v>більше 5%</v>
      </c>
      <c r="O16" s="7" t="str">
        <f t="shared" si="3"/>
        <v>МІНУС</v>
      </c>
      <c r="P16" s="8">
        <f t="shared" si="4"/>
        <v>10526.82</v>
      </c>
      <c r="Q16" s="9">
        <f t="shared" si="10"/>
        <v>-1579023</v>
      </c>
    </row>
    <row r="18" spans="1:16" x14ac:dyDescent="0.25">
      <c r="A18" t="s">
        <v>22</v>
      </c>
      <c r="K18" s="21" t="s">
        <v>5</v>
      </c>
      <c r="L18" s="21"/>
      <c r="M18" s="12" t="s">
        <v>12</v>
      </c>
      <c r="N18" s="13" t="s">
        <v>24</v>
      </c>
      <c r="O18" s="10" t="s">
        <v>6</v>
      </c>
      <c r="P18" s="11">
        <f>P20*80%</f>
        <v>7017.880000000001</v>
      </c>
    </row>
    <row r="19" spans="1:16" x14ac:dyDescent="0.25">
      <c r="A19" t="s">
        <v>23</v>
      </c>
      <c r="K19" s="21" t="s">
        <v>13</v>
      </c>
      <c r="L19" s="21"/>
      <c r="M19" s="12" t="s">
        <v>11</v>
      </c>
      <c r="N19" s="13" t="s">
        <v>25</v>
      </c>
      <c r="O19" s="10" t="s">
        <v>6</v>
      </c>
      <c r="P19" s="11">
        <f>P20*90%</f>
        <v>7895.1150000000007</v>
      </c>
    </row>
    <row r="20" spans="1:16" x14ac:dyDescent="0.25">
      <c r="K20" s="21" t="s">
        <v>1</v>
      </c>
      <c r="L20" s="21"/>
      <c r="M20" s="12" t="s">
        <v>10</v>
      </c>
      <c r="N20" s="13" t="s">
        <v>8</v>
      </c>
      <c r="O20" s="10" t="s">
        <v>6</v>
      </c>
      <c r="P20" s="16">
        <v>8772.35</v>
      </c>
    </row>
    <row r="21" spans="1:16" x14ac:dyDescent="0.25">
      <c r="K21" s="21" t="s">
        <v>1</v>
      </c>
      <c r="L21" s="21"/>
      <c r="M21" s="12" t="s">
        <v>10</v>
      </c>
      <c r="N21" s="13" t="s">
        <v>8</v>
      </c>
      <c r="O21" s="10" t="s">
        <v>7</v>
      </c>
      <c r="P21" s="16">
        <v>8772.35</v>
      </c>
    </row>
    <row r="22" spans="1:16" x14ac:dyDescent="0.25">
      <c r="K22" s="21" t="s">
        <v>3</v>
      </c>
      <c r="L22" s="21"/>
      <c r="M22" s="12" t="s">
        <v>11</v>
      </c>
      <c r="N22" s="13" t="s">
        <v>25</v>
      </c>
      <c r="O22" s="10" t="s">
        <v>7</v>
      </c>
      <c r="P22" s="11">
        <f>P20*110%</f>
        <v>9649.5850000000009</v>
      </c>
    </row>
    <row r="23" spans="1:16" x14ac:dyDescent="0.25">
      <c r="K23" s="21" t="s">
        <v>4</v>
      </c>
      <c r="L23" s="21"/>
      <c r="M23" s="12" t="s">
        <v>12</v>
      </c>
      <c r="N23" s="13" t="s">
        <v>24</v>
      </c>
      <c r="O23" s="10" t="s">
        <v>7</v>
      </c>
      <c r="P23" s="11">
        <f>P20*120%</f>
        <v>10526.82</v>
      </c>
    </row>
  </sheetData>
  <mergeCells count="6">
    <mergeCell ref="K23:L23"/>
    <mergeCell ref="K18:L18"/>
    <mergeCell ref="K19:L19"/>
    <mergeCell ref="K20:L20"/>
    <mergeCell ref="K21:L21"/>
    <mergeCell ref="K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КОДЕКСУ ЗПТ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cp:lastPrinted>2019-04-08T12:43:30Z</cp:lastPrinted>
  <dcterms:created xsi:type="dcterms:W3CDTF">2019-03-05T17:33:28Z</dcterms:created>
  <dcterms:modified xsi:type="dcterms:W3CDTF">2020-10-08T19:17:19Z</dcterms:modified>
</cp:coreProperties>
</file>