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ALIZATION\REALIZATION\REALIZATION\САП, НАВЧАННЯ, КОНТАКТ-ЦЕНТР\Сайт\Розділ сайту КЛІЄНТАМ\2 Замовлення й оплата послуг\NEBALANS\"/>
    </mc:Choice>
  </mc:AlternateContent>
  <bookViews>
    <workbookView xWindow="0" yWindow="0" windowWidth="28800" windowHeight="12330"/>
  </bookViews>
  <sheets>
    <sheet name="ЗПТ UA" sheetId="7" r:id="rId1"/>
    <sheet name="CLIENTS EN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9" l="1"/>
  <c r="P16" i="9" s="1"/>
  <c r="K16" i="9"/>
  <c r="J16" i="9"/>
  <c r="G16" i="9"/>
  <c r="M16" i="9" s="1"/>
  <c r="F16" i="9"/>
  <c r="B16" i="9"/>
  <c r="S16" i="9" s="1"/>
  <c r="O15" i="9"/>
  <c r="P15" i="9" s="1"/>
  <c r="K15" i="9"/>
  <c r="J15" i="9"/>
  <c r="G15" i="9"/>
  <c r="F15" i="9"/>
  <c r="B15" i="9"/>
  <c r="S15" i="9" s="1"/>
  <c r="O14" i="9"/>
  <c r="P14" i="9" s="1"/>
  <c r="K14" i="9"/>
  <c r="J14" i="9"/>
  <c r="G14" i="9"/>
  <c r="F14" i="9"/>
  <c r="B14" i="9"/>
  <c r="S14" i="9" s="1"/>
  <c r="O13" i="9"/>
  <c r="P13" i="9" s="1"/>
  <c r="K13" i="9"/>
  <c r="J13" i="9"/>
  <c r="G13" i="9"/>
  <c r="F13" i="9"/>
  <c r="L13" i="9" s="1"/>
  <c r="B13" i="9"/>
  <c r="O12" i="9"/>
  <c r="P12" i="9" s="1"/>
  <c r="K12" i="9"/>
  <c r="J12" i="9"/>
  <c r="G12" i="9"/>
  <c r="F12" i="9"/>
  <c r="B12" i="9"/>
  <c r="S12" i="9" s="1"/>
  <c r="O11" i="9"/>
  <c r="P11" i="9" s="1"/>
  <c r="K11" i="9"/>
  <c r="J11" i="9"/>
  <c r="G11" i="9"/>
  <c r="F11" i="9"/>
  <c r="L11" i="9" s="1"/>
  <c r="B11" i="9"/>
  <c r="O10" i="9"/>
  <c r="P10" i="9" s="1"/>
  <c r="K10" i="9"/>
  <c r="J10" i="9"/>
  <c r="G10" i="9"/>
  <c r="F10" i="9"/>
  <c r="B10" i="9"/>
  <c r="S10" i="9" s="1"/>
  <c r="O9" i="9"/>
  <c r="P9" i="9" s="1"/>
  <c r="K9" i="9"/>
  <c r="J9" i="9"/>
  <c r="G9" i="9"/>
  <c r="F9" i="9"/>
  <c r="L9" i="9" s="1"/>
  <c r="B9" i="9"/>
  <c r="O8" i="9"/>
  <c r="P8" i="9" s="1"/>
  <c r="K8" i="9"/>
  <c r="J8" i="9"/>
  <c r="G8" i="9"/>
  <c r="F8" i="9"/>
  <c r="B8" i="9"/>
  <c r="S8" i="9" s="1"/>
  <c r="O7" i="9"/>
  <c r="P7" i="9" s="1"/>
  <c r="K7" i="9"/>
  <c r="J7" i="9"/>
  <c r="G7" i="9"/>
  <c r="F7" i="9"/>
  <c r="L7" i="9" s="1"/>
  <c r="B7" i="9"/>
  <c r="O6" i="9"/>
  <c r="P6" i="9" s="1"/>
  <c r="K6" i="9"/>
  <c r="J6" i="9"/>
  <c r="G6" i="9"/>
  <c r="F6" i="9"/>
  <c r="B6" i="9"/>
  <c r="S6" i="9" s="1"/>
  <c r="O5" i="9"/>
  <c r="P5" i="9" s="1"/>
  <c r="K5" i="9"/>
  <c r="J5" i="9"/>
  <c r="G5" i="9"/>
  <c r="F5" i="9"/>
  <c r="B5" i="9"/>
  <c r="O4" i="9"/>
  <c r="P4" i="9" s="1"/>
  <c r="K4" i="9"/>
  <c r="J4" i="9"/>
  <c r="G4" i="9"/>
  <c r="F4" i="9"/>
  <c r="B4" i="9"/>
  <c r="M12" i="9" l="1"/>
  <c r="M14" i="9"/>
  <c r="L16" i="9"/>
  <c r="N16" i="9" s="1"/>
  <c r="Q16" i="9" s="1"/>
  <c r="R16" i="9" s="1"/>
  <c r="R10" i="9"/>
  <c r="S11" i="9"/>
  <c r="S7" i="9"/>
  <c r="M5" i="9"/>
  <c r="M7" i="9"/>
  <c r="N7" i="9" s="1"/>
  <c r="Q7" i="9" s="1"/>
  <c r="M9" i="9"/>
  <c r="S4" i="9"/>
  <c r="S13" i="9"/>
  <c r="S9" i="9"/>
  <c r="S5" i="9"/>
  <c r="L4" i="9"/>
  <c r="L6" i="9"/>
  <c r="N6" i="9" s="1"/>
  <c r="Q6" i="9" s="1"/>
  <c r="M4" i="9"/>
  <c r="N4" i="9" s="1"/>
  <c r="Q4" i="9" s="1"/>
  <c r="R4" i="9" s="1"/>
  <c r="M6" i="9"/>
  <c r="L8" i="9"/>
  <c r="L10" i="9"/>
  <c r="M11" i="9"/>
  <c r="N11" i="9" s="1"/>
  <c r="Q11" i="9" s="1"/>
  <c r="M13" i="9"/>
  <c r="L15" i="9"/>
  <c r="N15" i="9" s="1"/>
  <c r="Q15" i="9" s="1"/>
  <c r="L5" i="9"/>
  <c r="N5" i="9" s="1"/>
  <c r="Q5" i="9" s="1"/>
  <c r="R5" i="9" s="1"/>
  <c r="M8" i="9"/>
  <c r="N8" i="9" s="1"/>
  <c r="Q8" i="9" s="1"/>
  <c r="R8" i="9" s="1"/>
  <c r="M10" i="9"/>
  <c r="N10" i="9" s="1"/>
  <c r="Q10" i="9" s="1"/>
  <c r="L12" i="9"/>
  <c r="N12" i="9" s="1"/>
  <c r="Q12" i="9" s="1"/>
  <c r="R12" i="9" s="1"/>
  <c r="L14" i="9"/>
  <c r="N14" i="9" s="1"/>
  <c r="Q14" i="9" s="1"/>
  <c r="R14" i="9" s="1"/>
  <c r="M15" i="9"/>
  <c r="N9" i="9"/>
  <c r="Q9" i="9" s="1"/>
  <c r="R9" i="9" s="1"/>
  <c r="N13" i="9"/>
  <c r="Q13" i="9" s="1"/>
  <c r="R13" i="9" s="1"/>
  <c r="T4" i="9" l="1"/>
  <c r="U4" i="9" s="1"/>
  <c r="R15" i="9"/>
  <c r="T15" i="9" s="1"/>
  <c r="U15" i="9" s="1"/>
  <c r="R11" i="9"/>
  <c r="T11" i="9" s="1"/>
  <c r="U11" i="9" s="1"/>
  <c r="T7" i="9"/>
  <c r="U7" i="9" s="1"/>
  <c r="T14" i="9"/>
  <c r="U14" i="9" s="1"/>
  <c r="R7" i="9"/>
  <c r="R6" i="9"/>
  <c r="T6" i="9" s="1"/>
  <c r="U6" i="9" s="1"/>
  <c r="T10" i="9"/>
  <c r="U10" i="9" s="1"/>
  <c r="T8" i="9"/>
  <c r="U8" i="9" s="1"/>
  <c r="T16" i="9"/>
  <c r="U16" i="9" s="1"/>
  <c r="T5" i="9"/>
  <c r="U5" i="9" s="1"/>
  <c r="T13" i="9"/>
  <c r="U13" i="9" s="1"/>
  <c r="T12" i="9"/>
  <c r="U12" i="9" s="1"/>
  <c r="T9" i="9"/>
  <c r="U9" i="9" s="1"/>
  <c r="G5" i="7" l="1"/>
  <c r="G6" i="7"/>
  <c r="G7" i="7"/>
  <c r="G8" i="7"/>
  <c r="G9" i="7"/>
  <c r="G10" i="7"/>
  <c r="G11" i="7"/>
  <c r="G12" i="7"/>
  <c r="G13" i="7"/>
  <c r="G14" i="7"/>
  <c r="G15" i="7"/>
  <c r="G16" i="7"/>
  <c r="G4" i="7"/>
  <c r="F5" i="7"/>
  <c r="F6" i="7"/>
  <c r="F7" i="7"/>
  <c r="F8" i="7"/>
  <c r="F9" i="7"/>
  <c r="F10" i="7"/>
  <c r="F11" i="7"/>
  <c r="F12" i="7"/>
  <c r="F13" i="7"/>
  <c r="F14" i="7"/>
  <c r="F15" i="7"/>
  <c r="F16" i="7"/>
  <c r="F4" i="7"/>
  <c r="L13" i="7" l="1"/>
  <c r="M10" i="7"/>
  <c r="M6" i="7"/>
  <c r="L9" i="7"/>
  <c r="L8" i="7"/>
  <c r="M4" i="7"/>
  <c r="M5" i="7"/>
  <c r="L4" i="7"/>
  <c r="K5" i="7"/>
  <c r="K6" i="7"/>
  <c r="K7" i="7"/>
  <c r="M7" i="7" s="1"/>
  <c r="K8" i="7"/>
  <c r="M8" i="7" s="1"/>
  <c r="K9" i="7"/>
  <c r="M9" i="7" s="1"/>
  <c r="K10" i="7"/>
  <c r="K11" i="7"/>
  <c r="M11" i="7" s="1"/>
  <c r="K12" i="7"/>
  <c r="M12" i="7" s="1"/>
  <c r="K13" i="7"/>
  <c r="M13" i="7" s="1"/>
  <c r="K14" i="7"/>
  <c r="M14" i="7" s="1"/>
  <c r="K15" i="7"/>
  <c r="M15" i="7" s="1"/>
  <c r="K16" i="7"/>
  <c r="M16" i="7" s="1"/>
  <c r="K4" i="7"/>
  <c r="J5" i="7"/>
  <c r="L5" i="7" s="1"/>
  <c r="J6" i="7"/>
  <c r="L6" i="7" s="1"/>
  <c r="J7" i="7"/>
  <c r="L7" i="7" s="1"/>
  <c r="J8" i="7"/>
  <c r="J9" i="7"/>
  <c r="J10" i="7"/>
  <c r="L10" i="7" s="1"/>
  <c r="J11" i="7"/>
  <c r="L11" i="7" s="1"/>
  <c r="J12" i="7"/>
  <c r="L12" i="7" s="1"/>
  <c r="J13" i="7"/>
  <c r="J14" i="7"/>
  <c r="L14" i="7" s="1"/>
  <c r="J15" i="7"/>
  <c r="L15" i="7" s="1"/>
  <c r="J16" i="7"/>
  <c r="L16" i="7" s="1"/>
  <c r="J4" i="7"/>
  <c r="O5" i="7" l="1"/>
  <c r="O4" i="7" l="1"/>
  <c r="B4" i="7" l="1"/>
  <c r="N4" i="7" s="1"/>
  <c r="O16" i="7" l="1"/>
  <c r="P16" i="7" s="1"/>
  <c r="B16" i="7"/>
  <c r="N16" i="7" s="1"/>
  <c r="O15" i="7"/>
  <c r="P15" i="7" s="1"/>
  <c r="B15" i="7"/>
  <c r="N15" i="7" s="1"/>
  <c r="O14" i="7"/>
  <c r="P14" i="7" s="1"/>
  <c r="B14" i="7"/>
  <c r="N14" i="7" s="1"/>
  <c r="O13" i="7"/>
  <c r="P13" i="7" s="1"/>
  <c r="B13" i="7"/>
  <c r="N13" i="7" s="1"/>
  <c r="O12" i="7"/>
  <c r="P12" i="7" s="1"/>
  <c r="B12" i="7"/>
  <c r="N12" i="7" s="1"/>
  <c r="O11" i="7"/>
  <c r="P11" i="7" s="1"/>
  <c r="B11" i="7"/>
  <c r="N11" i="7" s="1"/>
  <c r="O10" i="7"/>
  <c r="P10" i="7" s="1"/>
  <c r="B10" i="7"/>
  <c r="N10" i="7" s="1"/>
  <c r="O9" i="7"/>
  <c r="P9" i="7" s="1"/>
  <c r="B9" i="7"/>
  <c r="N9" i="7" s="1"/>
  <c r="O8" i="7"/>
  <c r="P8" i="7" s="1"/>
  <c r="B8" i="7"/>
  <c r="N8" i="7" s="1"/>
  <c r="O7" i="7"/>
  <c r="P7" i="7" s="1"/>
  <c r="B7" i="7"/>
  <c r="N7" i="7" s="1"/>
  <c r="O6" i="7"/>
  <c r="P6" i="7" s="1"/>
  <c r="B6" i="7"/>
  <c r="N6" i="7" s="1"/>
  <c r="P5" i="7"/>
  <c r="B5" i="7"/>
  <c r="N5" i="7" s="1"/>
  <c r="P4" i="7"/>
  <c r="Q4" i="7" s="1"/>
  <c r="R4" i="7" l="1"/>
  <c r="Q7" i="7"/>
  <c r="R7" i="7" s="1"/>
  <c r="S9" i="7"/>
  <c r="Q9" i="7"/>
  <c r="R9" i="7" s="1"/>
  <c r="S11" i="7"/>
  <c r="Q11" i="7"/>
  <c r="R11" i="7" s="1"/>
  <c r="S13" i="7"/>
  <c r="Q13" i="7"/>
  <c r="R13" i="7" s="1"/>
  <c r="Q8" i="7"/>
  <c r="R8" i="7" s="1"/>
  <c r="S10" i="7"/>
  <c r="Q12" i="7"/>
  <c r="R12" i="7" s="1"/>
  <c r="S14" i="7"/>
  <c r="Q14" i="7"/>
  <c r="R14" i="7" s="1"/>
  <c r="Q16" i="7"/>
  <c r="R16" i="7" s="1"/>
  <c r="S6" i="7"/>
  <c r="Q6" i="7"/>
  <c r="R6" i="7" s="1"/>
  <c r="S5" i="7"/>
  <c r="Q5" i="7"/>
  <c r="R5" i="7" s="1"/>
  <c r="S15" i="7"/>
  <c r="Q15" i="7"/>
  <c r="R15" i="7" s="1"/>
  <c r="S4" i="7"/>
  <c r="S8" i="7"/>
  <c r="S7" i="7"/>
  <c r="Q10" i="7"/>
  <c r="R10" i="7" s="1"/>
  <c r="S16" i="7"/>
  <c r="S12" i="7"/>
  <c r="T4" i="7" l="1"/>
  <c r="U4" i="7" s="1"/>
  <c r="T13" i="7"/>
  <c r="U13" i="7" s="1"/>
  <c r="T16" i="7"/>
  <c r="U16" i="7" s="1"/>
  <c r="T10" i="7"/>
  <c r="U10" i="7" s="1"/>
  <c r="T9" i="7"/>
  <c r="U9" i="7" s="1"/>
  <c r="T11" i="7"/>
  <c r="U11" i="7" s="1"/>
  <c r="T6" i="7"/>
  <c r="U6" i="7" s="1"/>
  <c r="T14" i="7"/>
  <c r="U14" i="7" s="1"/>
  <c r="T5" i="7"/>
  <c r="U5" i="7" s="1"/>
  <c r="T8" i="7"/>
  <c r="U8" i="7" s="1"/>
  <c r="T12" i="7"/>
  <c r="U12" i="7" s="1"/>
  <c r="T7" i="7"/>
  <c r="U7" i="7" s="1"/>
  <c r="T15" i="7"/>
  <c r="U15" i="7" s="1"/>
</calcChain>
</file>

<file path=xl/sharedStrings.xml><?xml version="1.0" encoding="utf-8"?>
<sst xmlns="http://schemas.openxmlformats.org/spreadsheetml/2006/main" count="96" uniqueCount="75">
  <si>
    <t xml:space="preserve">Дата </t>
  </si>
  <si>
    <t>ПЛЮС</t>
  </si>
  <si>
    <t>МІНУС</t>
  </si>
  <si>
    <t>Знак небалансу</t>
  </si>
  <si>
    <t>5% включно</t>
  </si>
  <si>
    <t>5% не включно</t>
  </si>
  <si>
    <t>2=3-5</t>
  </si>
  <si>
    <t>більше 5%</t>
  </si>
  <si>
    <t>Позитивний/негативний добовий небаланс ВХІД - ВИХІД, куб.м.</t>
  </si>
  <si>
    <t>ВХІД, куб.м.</t>
  </si>
  <si>
    <t>ВИХІД попередня щодобова алокація відборів/ споживання, куб.м.</t>
  </si>
  <si>
    <t>ВИХІД остаточна щодобова алокація відборів/ споживання, куб.м.</t>
  </si>
  <si>
    <t>ДОПУСТИМЕ ВІДХИЛЕННЯ 5%, куб.м.</t>
  </si>
  <si>
    <t>Різниця між попередньою і остаточною алокацією, куб.м.</t>
  </si>
  <si>
    <t>Модуль різниці між попередньою і остаточною алокацією, куб.м.</t>
  </si>
  <si>
    <t>ОСТАТОЧНЕ ДОПУСТИМЕ ВІДХИЛЕННЯ ДЛЯ 5%, куб.м.</t>
  </si>
  <si>
    <t>до 5% включно</t>
  </si>
  <si>
    <t>Розрахунок з 06.05.2022</t>
  </si>
  <si>
    <t>Додатня різниця ТС(Набуття) -  ТС (Відчудження)</t>
  </si>
  <si>
    <t>ТС (Набуття)</t>
  </si>
  <si>
    <t>ТС (Відчудження)</t>
  </si>
  <si>
    <t>Додатня різниця ТС (Відчудження) - ТС(Набуття)</t>
  </si>
  <si>
    <t>Якщо ПОЗИТИВНИЙ НЕБАЛАНС - то V (вихід – ТС) + (Додатня різниця ТС (Відчудження) - ТС(Набуття)), куб.м.</t>
  </si>
  <si>
    <t>Якщо НЕГАТИВНИЙ НЕБАЛАНС - то V (вхід – ТС) + (Додатня різниця ТС(Набуття) -  ТС (Відчудження)), куб.м.</t>
  </si>
  <si>
    <t>ВХІД - ТС (Набуття), куб.м.</t>
  </si>
  <si>
    <t>ВИХІД - ТС (Відчудження), куб.м.</t>
  </si>
  <si>
    <t>V (вхід – ТС (Набуття)) + (Додатня різниця ТС(Набуття) -  ТС (Відчудження)), куб.м.</t>
  </si>
  <si>
    <t>V (вихід – ТС (Відчудження)) + (Додатня різниця ТС (Відчудження) - ТС(Набуття)), куб.м.</t>
  </si>
  <si>
    <t>12=6+10</t>
  </si>
  <si>
    <t>13=7+11</t>
  </si>
  <si>
    <t>14=ЕСЛИ(2&gt;0;13*0,05;12*0,05)</t>
  </si>
  <si>
    <t>15=4-5</t>
  </si>
  <si>
    <t>16=ABS(15)</t>
  </si>
  <si>
    <t>17=14+16</t>
  </si>
  <si>
    <t>ЦІНА без ПДВ</t>
  </si>
  <si>
    <t xml:space="preserve">середньозважена ціна короткострокових стандартизованих продуктів </t>
  </si>
  <si>
    <t>маржинальна ціна продажу</t>
  </si>
  <si>
    <t>маржинальна ціна придбання</t>
  </si>
  <si>
    <t>Вартість небалансу з ПДВ, грн</t>
  </si>
  <si>
    <t>Для НЕГАТИВНОГО НЕБАЛАСУ</t>
  </si>
  <si>
    <t>Для ПОЗИТИВНОГО НЕБАЛАСУ</t>
  </si>
  <si>
    <t xml:space="preserve">Date </t>
  </si>
  <si>
    <t>Positive/negative daily imbalance ENTRY - EXIT, cubic metres</t>
  </si>
  <si>
    <t>ENTRY, cubic metres</t>
  </si>
  <si>
    <t>EXIT preliminary daily offtake allocation/ consumption, cubic metres</t>
  </si>
  <si>
    <t>EXIT final daily offtake allocation/ consumption, cubic metres</t>
  </si>
  <si>
    <t>ENTRY - TN (acquisition), cubic metres</t>
  </si>
  <si>
    <t>EXIT - TN (alienation), куб.м.</t>
  </si>
  <si>
    <t>TN (Acquisition)</t>
  </si>
  <si>
    <t>TN (Alienation)</t>
  </si>
  <si>
    <t>A positive difference of TN (Acquisition) -  TN (Alienation)</t>
  </si>
  <si>
    <t>A positive difference of TN (Alienation) - TN (Acquisition)</t>
  </si>
  <si>
    <t>V (entry – TN (Acquisition)) + (A positive difference TN (Acquisition) -  TN (Acquisition)), cubic metres</t>
  </si>
  <si>
    <t>V exit – TN (Acquisition)) + (A positive difference of TN (Acquisition) - TN (Acquisition)), cubic metres</t>
  </si>
  <si>
    <t>A difference between preliminary and final allocation, cubic metres</t>
  </si>
  <si>
    <t>A sign of imbalance</t>
  </si>
  <si>
    <t>PRICE without VAT</t>
  </si>
  <si>
    <t>The cost of the imbalance with VAT, UAH</t>
  </si>
  <si>
    <t>TOLERANCE 5%, cubic metres</t>
  </si>
  <si>
    <t>The modulus of the difference between the preliminary and final allocation, cubic metres</t>
  </si>
  <si>
    <t>FINAL TOLERANCE FOR 5%, cubic metres</t>
  </si>
  <si>
    <t>If the POSITIVE IMBALANCE - than V (exit - TN) + (Positive difference of TN (Alienation) - TN (Acquisition)), cubic metres</t>
  </si>
  <si>
    <t>If the NEGATIVE IMBALANCE - than V (entry – TN) + (Positive difference of TN (Acquisition) - TN (Alienation)), cubic metres.</t>
  </si>
  <si>
    <t>Calculation from 06.05.2022</t>
  </si>
  <si>
    <t>For NEGATIVE IMBALANCE</t>
  </si>
  <si>
    <t>For POSITIVE IMBALANCE</t>
  </si>
  <si>
    <t>marginal sell price</t>
  </si>
  <si>
    <t xml:space="preserve">weighted average price of short term standardised products </t>
  </si>
  <si>
    <t>marginal buy price</t>
  </si>
  <si>
    <t>PLUS</t>
  </si>
  <si>
    <t>MINUS</t>
  </si>
  <si>
    <t>5% not inclusive</t>
  </si>
  <si>
    <t>more than 5%</t>
  </si>
  <si>
    <t>5% inclusive</t>
  </si>
  <si>
    <t>up to 5%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</si>
</sst>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₴_-;\-* #,##0.00\ _₴_-;_-* &quot;-&quot;??\ _₴_-;_-@_-"/>
    <numFmt numFmtId="165" formatCode="_-* #,##0.00\ _₽_-;\-* #,##0.00\ _₽_-;_-* &quot;-&quot;??\ _₽_-;_-@_-"/>
    <numFmt numFmtId="166" formatCode="_-* #,##0.000\ _₽_-;\-* #,##0.000\ _₽_-;_-* &quot;-&quot;???\ _₽_-;_-@_-"/>
    <numFmt numFmtId="167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165" fontId="0" fillId="0" borderId="0" xfId="1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5" fontId="0" fillId="0" borderId="1" xfId="1" applyFont="1" applyFill="1" applyBorder="1"/>
    <xf numFmtId="165" fontId="3" fillId="0" borderId="1" xfId="1" applyFont="1" applyFill="1" applyBorder="1" applyAlignment="1">
      <alignment horizontal="right" vertical="center"/>
    </xf>
    <xf numFmtId="165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3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3" fillId="0" borderId="1" xfId="1" applyFont="1" applyBorder="1" applyAlignment="1">
      <alignment horizontal="right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1" applyFont="1" applyBorder="1" applyAlignment="1">
      <alignment horizontal="left" vertical="center"/>
    </xf>
    <xf numFmtId="165" fontId="3" fillId="0" borderId="1" xfId="1" applyFont="1" applyFill="1" applyBorder="1" applyAlignment="1">
      <alignment horizontal="left" vertical="center"/>
    </xf>
    <xf numFmtId="164" fontId="0" fillId="0" borderId="0" xfId="0" applyNumberFormat="1"/>
    <xf numFmtId="14" fontId="6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3" fillId="0" borderId="0" xfId="1" applyFont="1" applyBorder="1" applyAlignment="1">
      <alignment horizontal="left" vertical="center"/>
    </xf>
    <xf numFmtId="165" fontId="3" fillId="0" borderId="0" xfId="1" applyFont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center" vertical="center"/>
    </xf>
    <xf numFmtId="165" fontId="0" fillId="0" borderId="0" xfId="1" applyFont="1" applyFill="1" applyBorder="1"/>
    <xf numFmtId="165" fontId="1" fillId="0" borderId="1" xfId="1" applyFont="1" applyBorder="1" applyAlignment="1">
      <alignment vertical="center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5" fontId="0" fillId="0" borderId="1" xfId="1" applyFont="1" applyBorder="1" applyAlignment="1">
      <alignment horizontal="center" vertical="center" wrapText="1"/>
    </xf>
    <xf numFmtId="165" fontId="1" fillId="0" borderId="1" xfId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7" fontId="3" fillId="0" borderId="0" xfId="1" applyNumberFormat="1" applyFont="1" applyBorder="1" applyAlignment="1">
      <alignment horizontal="center" vertical="center" wrapText="1"/>
    </xf>
    <xf numFmtId="0" fontId="8" fillId="0" borderId="0" xfId="0" applyFont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99"/>
      <color rgb="FF99CCFF"/>
      <color rgb="FFFFCCCC"/>
      <color rgb="FFFFFF99"/>
      <color rgb="FF99FF99"/>
      <color rgb="FFFF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80" zoomScaleNormal="80" workbookViewId="0">
      <pane xSplit="2" ySplit="3" topLeftCell="C4" activePane="bottomRight" state="frozen"/>
      <selection activeCell="Q4" sqref="Q4"/>
      <selection pane="topRight" activeCell="Q4" sqref="Q4"/>
      <selection pane="bottomLeft" activeCell="Q4" sqref="Q4"/>
      <selection pane="bottomRight" activeCell="C38" sqref="C38"/>
    </sheetView>
  </sheetViews>
  <sheetFormatPr defaultRowHeight="15" x14ac:dyDescent="0.25"/>
  <cols>
    <col min="1" max="1" width="10.85546875" bestFit="1" customWidth="1"/>
    <col min="2" max="2" width="14.42578125" customWidth="1"/>
    <col min="3" max="3" width="14.85546875" bestFit="1" customWidth="1"/>
    <col min="4" max="4" width="16.7109375" bestFit="1" customWidth="1"/>
    <col min="5" max="7" width="17" customWidth="1"/>
    <col min="8" max="8" width="14.140625" customWidth="1"/>
    <col min="9" max="9" width="15.28515625" customWidth="1"/>
    <col min="10" max="10" width="16.28515625" customWidth="1"/>
    <col min="11" max="11" width="17" customWidth="1"/>
    <col min="12" max="12" width="20" customWidth="1"/>
    <col min="13" max="13" width="19.28515625" customWidth="1"/>
    <col min="14" max="14" width="16.5703125" customWidth="1"/>
    <col min="15" max="15" width="16.7109375" customWidth="1"/>
    <col min="16" max="16" width="17.5703125" style="1" customWidth="1"/>
    <col min="17" max="17" width="16.28515625" customWidth="1"/>
    <col min="18" max="18" width="16.42578125" bestFit="1" customWidth="1"/>
    <col min="19" max="19" width="13" customWidth="1"/>
    <col min="20" max="20" width="14.42578125" customWidth="1"/>
    <col min="21" max="21" width="17" customWidth="1"/>
    <col min="22" max="22" width="17.28515625" bestFit="1" customWidth="1"/>
    <col min="23" max="23" width="13.7109375" bestFit="1" customWidth="1"/>
    <col min="24" max="24" width="15.140625" bestFit="1" customWidth="1"/>
    <col min="25" max="25" width="16" bestFit="1" customWidth="1"/>
    <col min="26" max="26" width="13.7109375" bestFit="1" customWidth="1"/>
    <col min="27" max="27" width="14.5703125" bestFit="1" customWidth="1"/>
    <col min="28" max="28" width="11.7109375" bestFit="1" customWidth="1"/>
    <col min="29" max="29" width="16.7109375" bestFit="1" customWidth="1"/>
  </cols>
  <sheetData>
    <row r="1" spans="1:21" x14ac:dyDescent="0.25">
      <c r="B1" s="12" t="s">
        <v>6</v>
      </c>
      <c r="N1" t="s">
        <v>30</v>
      </c>
      <c r="O1" t="s">
        <v>31</v>
      </c>
      <c r="P1" s="1" t="s">
        <v>32</v>
      </c>
      <c r="Q1" t="s">
        <v>33</v>
      </c>
    </row>
    <row r="2" spans="1:21" x14ac:dyDescent="0.25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 t="s">
        <v>28</v>
      </c>
      <c r="M2" s="12" t="s">
        <v>29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  <c r="U2" s="12">
        <v>21</v>
      </c>
    </row>
    <row r="3" spans="1:21" s="2" customFormat="1" ht="90" customHeight="1" x14ac:dyDescent="0.25">
      <c r="A3" s="4" t="s">
        <v>0</v>
      </c>
      <c r="B3" s="11" t="s">
        <v>8</v>
      </c>
      <c r="C3" s="4" t="s">
        <v>9</v>
      </c>
      <c r="D3" s="11" t="s">
        <v>10</v>
      </c>
      <c r="E3" s="11" t="s">
        <v>11</v>
      </c>
      <c r="F3" s="11" t="s">
        <v>24</v>
      </c>
      <c r="G3" s="11" t="s">
        <v>25</v>
      </c>
      <c r="H3" s="4" t="s">
        <v>19</v>
      </c>
      <c r="I3" s="4" t="s">
        <v>20</v>
      </c>
      <c r="J3" s="4" t="s">
        <v>18</v>
      </c>
      <c r="K3" s="4" t="s">
        <v>21</v>
      </c>
      <c r="L3" s="4" t="s">
        <v>26</v>
      </c>
      <c r="M3" s="4" t="s">
        <v>27</v>
      </c>
      <c r="N3" s="4" t="s">
        <v>12</v>
      </c>
      <c r="O3" s="3" t="s">
        <v>13</v>
      </c>
      <c r="P3" s="4" t="s">
        <v>14</v>
      </c>
      <c r="Q3" s="4" t="s">
        <v>15</v>
      </c>
      <c r="R3" s="4"/>
      <c r="S3" s="4" t="s">
        <v>3</v>
      </c>
      <c r="T3" s="19" t="s">
        <v>34</v>
      </c>
      <c r="U3" s="20" t="s">
        <v>38</v>
      </c>
    </row>
    <row r="4" spans="1:21" x14ac:dyDescent="0.25">
      <c r="A4" s="18">
        <v>44805</v>
      </c>
      <c r="B4" s="15">
        <f t="shared" ref="B4:B16" si="0">C4-E4</f>
        <v>120000</v>
      </c>
      <c r="C4" s="13">
        <v>750000</v>
      </c>
      <c r="D4" s="13">
        <v>600000</v>
      </c>
      <c r="E4" s="13">
        <v>630000</v>
      </c>
      <c r="F4" s="13">
        <f>C4-H4</f>
        <v>0</v>
      </c>
      <c r="G4" s="13">
        <f>E4-I4</f>
        <v>630000</v>
      </c>
      <c r="H4" s="13">
        <v>750000</v>
      </c>
      <c r="I4" s="13">
        <v>0</v>
      </c>
      <c r="J4" s="13">
        <f>IF(H4-I4&gt;0,H4-I4,0)</f>
        <v>750000</v>
      </c>
      <c r="K4" s="13">
        <f>IF(I4-H4&gt;0,I4-H4,0)</f>
        <v>0</v>
      </c>
      <c r="L4" s="13">
        <f>F4+J4</f>
        <v>750000</v>
      </c>
      <c r="M4" s="13">
        <f>G4+K4</f>
        <v>630000</v>
      </c>
      <c r="N4" s="7">
        <f>IF($B4&gt;0,$M4*0.05,$L4*0.05)</f>
        <v>31500</v>
      </c>
      <c r="O4" s="7">
        <f t="shared" ref="O4:O16" si="1">D4-E4</f>
        <v>-30000</v>
      </c>
      <c r="P4" s="14">
        <f t="shared" ref="P4:P16" si="2">ABS(O4)</f>
        <v>30000</v>
      </c>
      <c r="Q4" s="7">
        <f>P4+N4</f>
        <v>61500</v>
      </c>
      <c r="R4" s="10" t="str">
        <f>IF(ABS(B4)&gt;Q4,"більше 5%","до 5% включно")</f>
        <v>більше 5%</v>
      </c>
      <c r="S4" s="5" t="str">
        <f t="shared" ref="S4:S16" si="3">IF(B4&lt;0,"МІНУС","ПЛЮС")</f>
        <v>ПЛЮС</v>
      </c>
      <c r="T4" s="6">
        <f t="shared" ref="T4:T16" si="4">SUMIFS($T$19:$T$22,$S$19:$S$22,S4,$R$19:$R$22,R4)</f>
        <v>22194.927</v>
      </c>
      <c r="U4" s="7">
        <f>ROUND((B4*T4/1000),2)+ROUND(ROUND((B4*T4/1000),2)*0.2,2)</f>
        <v>3196069.49</v>
      </c>
    </row>
    <row r="5" spans="1:21" x14ac:dyDescent="0.25">
      <c r="A5" s="18">
        <v>44806</v>
      </c>
      <c r="B5" s="15">
        <f t="shared" si="0"/>
        <v>-10000</v>
      </c>
      <c r="C5" s="13">
        <v>500000</v>
      </c>
      <c r="D5" s="13">
        <v>600000</v>
      </c>
      <c r="E5" s="13">
        <v>510000</v>
      </c>
      <c r="F5" s="13">
        <f t="shared" ref="F5:F16" si="5">C5-H5</f>
        <v>0</v>
      </c>
      <c r="G5" s="13">
        <f t="shared" ref="G5:G16" si="6">E5-I5</f>
        <v>510000</v>
      </c>
      <c r="H5" s="13">
        <v>500000</v>
      </c>
      <c r="I5" s="13">
        <v>0</v>
      </c>
      <c r="J5" s="13">
        <f t="shared" ref="J5:J16" si="7">IF(H5-I5&gt;0,H5-I5,0)</f>
        <v>500000</v>
      </c>
      <c r="K5" s="13">
        <f t="shared" ref="K5:K16" si="8">IF(I5-H5&gt;0,I5-H5,0)</f>
        <v>0</v>
      </c>
      <c r="L5" s="13">
        <f t="shared" ref="L5:L16" si="9">F5+J5</f>
        <v>500000</v>
      </c>
      <c r="M5" s="13">
        <f t="shared" ref="M5:M16" si="10">G5+K5</f>
        <v>510000</v>
      </c>
      <c r="N5" s="7">
        <f t="shared" ref="N5:N16" si="11">IF($B5&gt;0,$M5*0.05,$L5*0.05)</f>
        <v>25000</v>
      </c>
      <c r="O5" s="7">
        <f>D5-E5</f>
        <v>90000</v>
      </c>
      <c r="P5" s="14">
        <f t="shared" si="2"/>
        <v>90000</v>
      </c>
      <c r="Q5" s="7">
        <f t="shared" ref="Q5:Q16" si="12">P5+N5</f>
        <v>115000</v>
      </c>
      <c r="R5" s="10" t="str">
        <f>IF(ABS(B5)&gt;Q5,"більше 5%","до 5% включно")</f>
        <v>до 5% включно</v>
      </c>
      <c r="S5" s="5" t="str">
        <f t="shared" si="3"/>
        <v>МІНУС</v>
      </c>
      <c r="T5" s="6">
        <f t="shared" si="4"/>
        <v>24661.03</v>
      </c>
      <c r="U5" s="7">
        <f>ROUND((B5*T5/1000),2)+ROUND(ROUND((B5*T5/1000),2)*0.2,2)</f>
        <v>-295932.36</v>
      </c>
    </row>
    <row r="6" spans="1:21" x14ac:dyDescent="0.25">
      <c r="A6" s="18">
        <v>44807</v>
      </c>
      <c r="B6" s="15">
        <f t="shared" si="0"/>
        <v>-20000</v>
      </c>
      <c r="C6" s="13">
        <v>588000</v>
      </c>
      <c r="D6" s="13">
        <v>620000</v>
      </c>
      <c r="E6" s="13">
        <v>608000</v>
      </c>
      <c r="F6" s="13">
        <f t="shared" si="5"/>
        <v>200000</v>
      </c>
      <c r="G6" s="13">
        <f t="shared" si="6"/>
        <v>608000</v>
      </c>
      <c r="H6" s="13">
        <v>388000</v>
      </c>
      <c r="I6" s="13">
        <v>0</v>
      </c>
      <c r="J6" s="13">
        <f t="shared" si="7"/>
        <v>388000</v>
      </c>
      <c r="K6" s="13">
        <f t="shared" si="8"/>
        <v>0</v>
      </c>
      <c r="L6" s="13">
        <f t="shared" si="9"/>
        <v>588000</v>
      </c>
      <c r="M6" s="13">
        <f t="shared" si="10"/>
        <v>608000</v>
      </c>
      <c r="N6" s="7">
        <f t="shared" si="11"/>
        <v>29400</v>
      </c>
      <c r="O6" s="7">
        <f t="shared" si="1"/>
        <v>12000</v>
      </c>
      <c r="P6" s="14">
        <f t="shared" si="2"/>
        <v>12000</v>
      </c>
      <c r="Q6" s="7">
        <f t="shared" si="12"/>
        <v>41400</v>
      </c>
      <c r="R6" s="10" t="str">
        <f t="shared" ref="R6:R16" si="13">IF(ABS(B6)&gt;Q6,"більше 5%","до 5% включно")</f>
        <v>до 5% включно</v>
      </c>
      <c r="S6" s="5" t="str">
        <f t="shared" si="3"/>
        <v>МІНУС</v>
      </c>
      <c r="T6" s="6">
        <f t="shared" si="4"/>
        <v>24661.03</v>
      </c>
      <c r="U6" s="7">
        <f t="shared" ref="U6:U16" si="14">ROUND((B6*T6/1000),2)+ROUND(ROUND((B6*T6/1000),2)*0.2,2)</f>
        <v>-591864.72</v>
      </c>
    </row>
    <row r="7" spans="1:21" x14ac:dyDescent="0.25">
      <c r="A7" s="18">
        <v>44808</v>
      </c>
      <c r="B7" s="15">
        <f t="shared" si="0"/>
        <v>10000</v>
      </c>
      <c r="C7" s="13">
        <v>600000</v>
      </c>
      <c r="D7" s="13">
        <v>580000</v>
      </c>
      <c r="E7" s="13">
        <v>590000</v>
      </c>
      <c r="F7" s="13">
        <f t="shared" si="5"/>
        <v>0</v>
      </c>
      <c r="G7" s="13">
        <f t="shared" si="6"/>
        <v>590000</v>
      </c>
      <c r="H7" s="13">
        <v>600000</v>
      </c>
      <c r="I7" s="13">
        <v>0</v>
      </c>
      <c r="J7" s="13">
        <f t="shared" si="7"/>
        <v>600000</v>
      </c>
      <c r="K7" s="13">
        <f t="shared" si="8"/>
        <v>0</v>
      </c>
      <c r="L7" s="13">
        <f t="shared" si="9"/>
        <v>600000</v>
      </c>
      <c r="M7" s="13">
        <f t="shared" si="10"/>
        <v>590000</v>
      </c>
      <c r="N7" s="7">
        <f>IF($B7&gt;0,$M7*0.05,$L7*0.05)</f>
        <v>29500</v>
      </c>
      <c r="O7" s="7">
        <f t="shared" si="1"/>
        <v>-10000</v>
      </c>
      <c r="P7" s="14">
        <f t="shared" si="2"/>
        <v>10000</v>
      </c>
      <c r="Q7" s="7">
        <f t="shared" si="12"/>
        <v>39500</v>
      </c>
      <c r="R7" s="10" t="str">
        <f t="shared" si="13"/>
        <v>до 5% включно</v>
      </c>
      <c r="S7" s="5" t="str">
        <f t="shared" si="3"/>
        <v>ПЛЮС</v>
      </c>
      <c r="T7" s="6">
        <f t="shared" si="4"/>
        <v>24661.03</v>
      </c>
      <c r="U7" s="7">
        <f>ROUND((B7*T7/1000),2)+ROUND(ROUND((B7*T7/1000),2)*0.2,2)</f>
        <v>295932.36</v>
      </c>
    </row>
    <row r="8" spans="1:21" ht="14.25" customHeight="1" x14ac:dyDescent="0.25">
      <c r="A8" s="18">
        <v>44809</v>
      </c>
      <c r="B8" s="15">
        <f t="shared" si="0"/>
        <v>30000</v>
      </c>
      <c r="C8" s="13">
        <v>600000</v>
      </c>
      <c r="D8" s="13">
        <v>580000</v>
      </c>
      <c r="E8" s="13">
        <v>570000</v>
      </c>
      <c r="F8" s="13">
        <f t="shared" si="5"/>
        <v>0</v>
      </c>
      <c r="G8" s="13">
        <f t="shared" si="6"/>
        <v>505000</v>
      </c>
      <c r="H8" s="13">
        <v>600000</v>
      </c>
      <c r="I8" s="13">
        <v>65000</v>
      </c>
      <c r="J8" s="13">
        <f t="shared" si="7"/>
        <v>535000</v>
      </c>
      <c r="K8" s="13">
        <f t="shared" si="8"/>
        <v>0</v>
      </c>
      <c r="L8" s="13">
        <f t="shared" si="9"/>
        <v>535000</v>
      </c>
      <c r="M8" s="13">
        <f t="shared" si="10"/>
        <v>505000</v>
      </c>
      <c r="N8" s="7">
        <f t="shared" si="11"/>
        <v>25250</v>
      </c>
      <c r="O8" s="7">
        <f t="shared" si="1"/>
        <v>10000</v>
      </c>
      <c r="P8" s="14">
        <f t="shared" si="2"/>
        <v>10000</v>
      </c>
      <c r="Q8" s="7">
        <f t="shared" si="12"/>
        <v>35250</v>
      </c>
      <c r="R8" s="10" t="str">
        <f t="shared" si="13"/>
        <v>до 5% включно</v>
      </c>
      <c r="S8" s="5" t="str">
        <f t="shared" si="3"/>
        <v>ПЛЮС</v>
      </c>
      <c r="T8" s="6">
        <f t="shared" si="4"/>
        <v>24661.03</v>
      </c>
      <c r="U8" s="7">
        <f t="shared" si="14"/>
        <v>887797.08000000007</v>
      </c>
    </row>
    <row r="9" spans="1:21" x14ac:dyDescent="0.25">
      <c r="A9" s="18">
        <v>44810</v>
      </c>
      <c r="B9" s="15">
        <f t="shared" si="0"/>
        <v>180000</v>
      </c>
      <c r="C9" s="13">
        <v>600000</v>
      </c>
      <c r="D9" s="13">
        <v>400000</v>
      </c>
      <c r="E9" s="13">
        <v>420000</v>
      </c>
      <c r="F9" s="13">
        <f t="shared" si="5"/>
        <v>0</v>
      </c>
      <c r="G9" s="13">
        <f t="shared" si="6"/>
        <v>0</v>
      </c>
      <c r="H9" s="13">
        <v>600000</v>
      </c>
      <c r="I9" s="13">
        <v>420000</v>
      </c>
      <c r="J9" s="13">
        <f t="shared" si="7"/>
        <v>180000</v>
      </c>
      <c r="K9" s="13">
        <f t="shared" si="8"/>
        <v>0</v>
      </c>
      <c r="L9" s="13">
        <f t="shared" si="9"/>
        <v>180000</v>
      </c>
      <c r="M9" s="13">
        <f t="shared" si="10"/>
        <v>0</v>
      </c>
      <c r="N9" s="7">
        <f t="shared" si="11"/>
        <v>0</v>
      </c>
      <c r="O9" s="7">
        <f t="shared" si="1"/>
        <v>-20000</v>
      </c>
      <c r="P9" s="14">
        <f t="shared" si="2"/>
        <v>20000</v>
      </c>
      <c r="Q9" s="7">
        <f t="shared" si="12"/>
        <v>20000</v>
      </c>
      <c r="R9" s="10" t="str">
        <f t="shared" si="13"/>
        <v>більше 5%</v>
      </c>
      <c r="S9" s="5" t="str">
        <f t="shared" si="3"/>
        <v>ПЛЮС</v>
      </c>
      <c r="T9" s="6">
        <f t="shared" si="4"/>
        <v>22194.927</v>
      </c>
      <c r="U9" s="7">
        <f t="shared" si="14"/>
        <v>4794104.2299999995</v>
      </c>
    </row>
    <row r="10" spans="1:21" x14ac:dyDescent="0.25">
      <c r="A10" s="18">
        <v>44811</v>
      </c>
      <c r="B10" s="15">
        <f t="shared" si="0"/>
        <v>10000</v>
      </c>
      <c r="C10" s="13">
        <v>600000</v>
      </c>
      <c r="D10" s="13">
        <v>580000</v>
      </c>
      <c r="E10" s="13">
        <v>590000</v>
      </c>
      <c r="F10" s="13">
        <f t="shared" si="5"/>
        <v>600000</v>
      </c>
      <c r="G10" s="13">
        <f t="shared" si="6"/>
        <v>0</v>
      </c>
      <c r="H10" s="13">
        <v>0</v>
      </c>
      <c r="I10" s="13">
        <v>590000</v>
      </c>
      <c r="J10" s="13">
        <f t="shared" si="7"/>
        <v>0</v>
      </c>
      <c r="K10" s="13">
        <f t="shared" si="8"/>
        <v>590000</v>
      </c>
      <c r="L10" s="13">
        <f t="shared" si="9"/>
        <v>600000</v>
      </c>
      <c r="M10" s="13">
        <f t="shared" si="10"/>
        <v>590000</v>
      </c>
      <c r="N10" s="7">
        <f t="shared" si="11"/>
        <v>29500</v>
      </c>
      <c r="O10" s="7">
        <f t="shared" si="1"/>
        <v>-10000</v>
      </c>
      <c r="P10" s="14">
        <f t="shared" si="2"/>
        <v>10000</v>
      </c>
      <c r="Q10" s="7">
        <f t="shared" si="12"/>
        <v>39500</v>
      </c>
      <c r="R10" s="10" t="str">
        <f t="shared" si="13"/>
        <v>до 5% включно</v>
      </c>
      <c r="S10" s="5" t="str">
        <f t="shared" si="3"/>
        <v>ПЛЮС</v>
      </c>
      <c r="T10" s="6">
        <f t="shared" si="4"/>
        <v>24661.03</v>
      </c>
      <c r="U10" s="7">
        <f t="shared" si="14"/>
        <v>295932.36</v>
      </c>
    </row>
    <row r="11" spans="1:21" x14ac:dyDescent="0.25">
      <c r="A11" s="18">
        <v>44812</v>
      </c>
      <c r="B11" s="15">
        <f t="shared" si="0"/>
        <v>10000</v>
      </c>
      <c r="C11" s="13">
        <v>600000</v>
      </c>
      <c r="D11" s="13">
        <v>580000</v>
      </c>
      <c r="E11" s="13">
        <v>590000</v>
      </c>
      <c r="F11" s="13">
        <f t="shared" si="5"/>
        <v>600000</v>
      </c>
      <c r="G11" s="13">
        <f t="shared" si="6"/>
        <v>200000</v>
      </c>
      <c r="H11" s="13">
        <v>0</v>
      </c>
      <c r="I11" s="13">
        <v>390000</v>
      </c>
      <c r="J11" s="13">
        <f t="shared" si="7"/>
        <v>0</v>
      </c>
      <c r="K11" s="13">
        <f t="shared" si="8"/>
        <v>390000</v>
      </c>
      <c r="L11" s="13">
        <f t="shared" si="9"/>
        <v>600000</v>
      </c>
      <c r="M11" s="13">
        <f t="shared" si="10"/>
        <v>590000</v>
      </c>
      <c r="N11" s="7">
        <f t="shared" si="11"/>
        <v>29500</v>
      </c>
      <c r="O11" s="7">
        <f t="shared" si="1"/>
        <v>-10000</v>
      </c>
      <c r="P11" s="14">
        <f t="shared" si="2"/>
        <v>10000</v>
      </c>
      <c r="Q11" s="7">
        <f t="shared" si="12"/>
        <v>39500</v>
      </c>
      <c r="R11" s="10" t="str">
        <f t="shared" si="13"/>
        <v>до 5% включно</v>
      </c>
      <c r="S11" s="5" t="str">
        <f t="shared" si="3"/>
        <v>ПЛЮС</v>
      </c>
      <c r="T11" s="6">
        <f t="shared" si="4"/>
        <v>24661.03</v>
      </c>
      <c r="U11" s="7">
        <f t="shared" si="14"/>
        <v>295932.36</v>
      </c>
    </row>
    <row r="12" spans="1:21" x14ac:dyDescent="0.25">
      <c r="A12" s="18">
        <v>44813</v>
      </c>
      <c r="B12" s="15">
        <f t="shared" si="0"/>
        <v>-18000</v>
      </c>
      <c r="C12" s="13">
        <v>600000</v>
      </c>
      <c r="D12" s="13">
        <v>620000</v>
      </c>
      <c r="E12" s="13">
        <v>618000</v>
      </c>
      <c r="F12" s="13">
        <f t="shared" si="5"/>
        <v>600000</v>
      </c>
      <c r="G12" s="13">
        <f t="shared" si="6"/>
        <v>0</v>
      </c>
      <c r="H12" s="13">
        <v>0</v>
      </c>
      <c r="I12" s="13">
        <v>618000</v>
      </c>
      <c r="J12" s="13">
        <f t="shared" si="7"/>
        <v>0</v>
      </c>
      <c r="K12" s="13">
        <f t="shared" si="8"/>
        <v>618000</v>
      </c>
      <c r="L12" s="13">
        <f t="shared" si="9"/>
        <v>600000</v>
      </c>
      <c r="M12" s="13">
        <f t="shared" si="10"/>
        <v>618000</v>
      </c>
      <c r="N12" s="7">
        <f t="shared" si="11"/>
        <v>30000</v>
      </c>
      <c r="O12" s="7">
        <f t="shared" si="1"/>
        <v>2000</v>
      </c>
      <c r="P12" s="14">
        <f t="shared" si="2"/>
        <v>2000</v>
      </c>
      <c r="Q12" s="7">
        <f t="shared" si="12"/>
        <v>32000</v>
      </c>
      <c r="R12" s="10" t="str">
        <f t="shared" si="13"/>
        <v>до 5% включно</v>
      </c>
      <c r="S12" s="5" t="str">
        <f t="shared" si="3"/>
        <v>МІНУС</v>
      </c>
      <c r="T12" s="6">
        <f t="shared" si="4"/>
        <v>24661.03</v>
      </c>
      <c r="U12" s="7">
        <f t="shared" si="14"/>
        <v>-532678.25</v>
      </c>
    </row>
    <row r="13" spans="1:21" x14ac:dyDescent="0.25">
      <c r="A13" s="18">
        <v>44814</v>
      </c>
      <c r="B13" s="15">
        <f t="shared" si="0"/>
        <v>-5000</v>
      </c>
      <c r="C13" s="13">
        <v>600000</v>
      </c>
      <c r="D13" s="13">
        <v>605000</v>
      </c>
      <c r="E13" s="13">
        <v>605000</v>
      </c>
      <c r="F13" s="13">
        <f t="shared" si="5"/>
        <v>600000</v>
      </c>
      <c r="G13" s="13">
        <f t="shared" si="6"/>
        <v>0</v>
      </c>
      <c r="H13" s="13">
        <v>0</v>
      </c>
      <c r="I13" s="13">
        <v>605000</v>
      </c>
      <c r="J13" s="13">
        <f t="shared" si="7"/>
        <v>0</v>
      </c>
      <c r="K13" s="13">
        <f t="shared" si="8"/>
        <v>605000</v>
      </c>
      <c r="L13" s="13">
        <f t="shared" si="9"/>
        <v>600000</v>
      </c>
      <c r="M13" s="13">
        <f t="shared" si="10"/>
        <v>605000</v>
      </c>
      <c r="N13" s="7">
        <f t="shared" si="11"/>
        <v>30000</v>
      </c>
      <c r="O13" s="7">
        <f t="shared" si="1"/>
        <v>0</v>
      </c>
      <c r="P13" s="14">
        <f t="shared" si="2"/>
        <v>0</v>
      </c>
      <c r="Q13" s="7">
        <f t="shared" si="12"/>
        <v>30000</v>
      </c>
      <c r="R13" s="10" t="str">
        <f t="shared" si="13"/>
        <v>до 5% включно</v>
      </c>
      <c r="S13" s="5" t="str">
        <f t="shared" si="3"/>
        <v>МІНУС</v>
      </c>
      <c r="T13" s="6">
        <f t="shared" si="4"/>
        <v>24661.03</v>
      </c>
      <c r="U13" s="7">
        <f t="shared" si="14"/>
        <v>-147966.18</v>
      </c>
    </row>
    <row r="14" spans="1:21" x14ac:dyDescent="0.25">
      <c r="A14" s="18">
        <v>44815</v>
      </c>
      <c r="B14" s="16">
        <f t="shared" si="0"/>
        <v>-150000</v>
      </c>
      <c r="C14" s="13">
        <v>600000</v>
      </c>
      <c r="D14" s="13">
        <v>750000</v>
      </c>
      <c r="E14" s="13">
        <v>750000</v>
      </c>
      <c r="F14" s="13">
        <f t="shared" si="5"/>
        <v>600000</v>
      </c>
      <c r="G14" s="13">
        <f t="shared" si="6"/>
        <v>0</v>
      </c>
      <c r="H14" s="13">
        <v>0</v>
      </c>
      <c r="I14" s="13">
        <v>750000</v>
      </c>
      <c r="J14" s="13">
        <f t="shared" si="7"/>
        <v>0</v>
      </c>
      <c r="K14" s="13">
        <f t="shared" si="8"/>
        <v>750000</v>
      </c>
      <c r="L14" s="13">
        <f t="shared" si="9"/>
        <v>600000</v>
      </c>
      <c r="M14" s="13">
        <f t="shared" si="10"/>
        <v>750000</v>
      </c>
      <c r="N14" s="7">
        <f t="shared" si="11"/>
        <v>30000</v>
      </c>
      <c r="O14" s="7">
        <f t="shared" si="1"/>
        <v>0</v>
      </c>
      <c r="P14" s="14">
        <f t="shared" si="2"/>
        <v>0</v>
      </c>
      <c r="Q14" s="7">
        <f t="shared" si="12"/>
        <v>30000</v>
      </c>
      <c r="R14" s="10" t="str">
        <f t="shared" si="13"/>
        <v>більше 5%</v>
      </c>
      <c r="S14" s="5" t="str">
        <f t="shared" si="3"/>
        <v>МІНУС</v>
      </c>
      <c r="T14" s="6">
        <f t="shared" si="4"/>
        <v>27127.133000000002</v>
      </c>
      <c r="U14" s="7">
        <f t="shared" si="14"/>
        <v>-4882883.9400000004</v>
      </c>
    </row>
    <row r="15" spans="1:21" x14ac:dyDescent="0.25">
      <c r="A15" s="18">
        <v>44816</v>
      </c>
      <c r="B15" s="16">
        <f t="shared" si="0"/>
        <v>-80000</v>
      </c>
      <c r="C15" s="13">
        <v>770000</v>
      </c>
      <c r="D15" s="13">
        <v>800000</v>
      </c>
      <c r="E15" s="13">
        <v>850000</v>
      </c>
      <c r="F15" s="13">
        <f t="shared" si="5"/>
        <v>600000</v>
      </c>
      <c r="G15" s="13">
        <f t="shared" si="6"/>
        <v>0</v>
      </c>
      <c r="H15" s="13">
        <v>170000</v>
      </c>
      <c r="I15" s="13">
        <v>850000</v>
      </c>
      <c r="J15" s="13">
        <f t="shared" si="7"/>
        <v>0</v>
      </c>
      <c r="K15" s="13">
        <f t="shared" si="8"/>
        <v>680000</v>
      </c>
      <c r="L15" s="13">
        <f t="shared" si="9"/>
        <v>600000</v>
      </c>
      <c r="M15" s="13">
        <f t="shared" si="10"/>
        <v>680000</v>
      </c>
      <c r="N15" s="7">
        <f t="shared" si="11"/>
        <v>30000</v>
      </c>
      <c r="O15" s="7">
        <f t="shared" si="1"/>
        <v>-50000</v>
      </c>
      <c r="P15" s="14">
        <f t="shared" si="2"/>
        <v>50000</v>
      </c>
      <c r="Q15" s="7">
        <f t="shared" si="12"/>
        <v>80000</v>
      </c>
      <c r="R15" s="10" t="str">
        <f t="shared" si="13"/>
        <v>до 5% включно</v>
      </c>
      <c r="S15" s="5" t="str">
        <f t="shared" si="3"/>
        <v>МІНУС</v>
      </c>
      <c r="T15" s="6">
        <f t="shared" si="4"/>
        <v>24661.03</v>
      </c>
      <c r="U15" s="7">
        <f t="shared" si="14"/>
        <v>-2367458.88</v>
      </c>
    </row>
    <row r="16" spans="1:21" x14ac:dyDescent="0.25">
      <c r="A16" s="18">
        <v>44817</v>
      </c>
      <c r="B16" s="15">
        <f t="shared" si="0"/>
        <v>-150000</v>
      </c>
      <c r="C16" s="13">
        <v>600000</v>
      </c>
      <c r="D16" s="13">
        <v>800000</v>
      </c>
      <c r="E16" s="13">
        <v>750000</v>
      </c>
      <c r="F16" s="13">
        <f t="shared" si="5"/>
        <v>600000</v>
      </c>
      <c r="G16" s="13">
        <f t="shared" si="6"/>
        <v>0</v>
      </c>
      <c r="H16" s="13">
        <v>0</v>
      </c>
      <c r="I16" s="13">
        <v>750000</v>
      </c>
      <c r="J16" s="13">
        <f t="shared" si="7"/>
        <v>0</v>
      </c>
      <c r="K16" s="13">
        <f t="shared" si="8"/>
        <v>750000</v>
      </c>
      <c r="L16" s="13">
        <f t="shared" si="9"/>
        <v>600000</v>
      </c>
      <c r="M16" s="13">
        <f t="shared" si="10"/>
        <v>750000</v>
      </c>
      <c r="N16" s="7">
        <f t="shared" si="11"/>
        <v>30000</v>
      </c>
      <c r="O16" s="7">
        <f t="shared" si="1"/>
        <v>50000</v>
      </c>
      <c r="P16" s="14">
        <f t="shared" si="2"/>
        <v>50000</v>
      </c>
      <c r="Q16" s="7">
        <f t="shared" si="12"/>
        <v>80000</v>
      </c>
      <c r="R16" s="10" t="str">
        <f t="shared" si="13"/>
        <v>більше 5%</v>
      </c>
      <c r="S16" s="5" t="str">
        <f t="shared" si="3"/>
        <v>МІНУС</v>
      </c>
      <c r="T16" s="6">
        <f t="shared" si="4"/>
        <v>27127.133000000002</v>
      </c>
      <c r="U16" s="7">
        <f t="shared" si="14"/>
        <v>-4882883.9400000004</v>
      </c>
    </row>
    <row r="17" spans="1:21" ht="30" x14ac:dyDescent="0.2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36" t="s">
        <v>39</v>
      </c>
      <c r="M17" s="36" t="s">
        <v>40</v>
      </c>
      <c r="N17" s="24"/>
      <c r="O17" s="24"/>
      <c r="P17" s="25"/>
      <c r="Q17" s="24"/>
      <c r="R17" s="26"/>
      <c r="S17" s="27"/>
      <c r="T17" s="28"/>
      <c r="U17" s="24"/>
    </row>
    <row r="18" spans="1:21" x14ac:dyDescent="0.25">
      <c r="A18" t="s">
        <v>22</v>
      </c>
    </row>
    <row r="19" spans="1:21" x14ac:dyDescent="0.25">
      <c r="A19" t="s">
        <v>23</v>
      </c>
      <c r="H19" s="17"/>
      <c r="I19" s="17"/>
      <c r="N19" s="38" t="s">
        <v>36</v>
      </c>
      <c r="O19" s="38"/>
      <c r="P19" s="38"/>
      <c r="Q19" s="9" t="s">
        <v>5</v>
      </c>
      <c r="R19" s="10" t="s">
        <v>7</v>
      </c>
      <c r="S19" s="8" t="s">
        <v>1</v>
      </c>
      <c r="T19" s="29">
        <v>22194.927</v>
      </c>
    </row>
    <row r="20" spans="1:21" s="2" customFormat="1" ht="30.75" customHeight="1" x14ac:dyDescent="0.25">
      <c r="H20" s="30"/>
      <c r="I20" s="30"/>
      <c r="M20" s="35"/>
      <c r="N20" s="39" t="s">
        <v>35</v>
      </c>
      <c r="O20" s="39"/>
      <c r="P20" s="39"/>
      <c r="Q20" s="31" t="s">
        <v>4</v>
      </c>
      <c r="R20" s="32" t="s">
        <v>16</v>
      </c>
      <c r="S20" s="33" t="s">
        <v>1</v>
      </c>
      <c r="T20" s="34">
        <v>24661.03</v>
      </c>
    </row>
    <row r="21" spans="1:21" s="2" customFormat="1" ht="30.75" customHeight="1" x14ac:dyDescent="0.25">
      <c r="H21" s="30"/>
      <c r="I21" s="30"/>
      <c r="M21" s="35"/>
      <c r="N21" s="39" t="s">
        <v>35</v>
      </c>
      <c r="O21" s="39"/>
      <c r="P21" s="39"/>
      <c r="Q21" s="31" t="s">
        <v>4</v>
      </c>
      <c r="R21" s="32" t="s">
        <v>16</v>
      </c>
      <c r="S21" s="33" t="s">
        <v>2</v>
      </c>
      <c r="T21" s="34">
        <v>24661.03</v>
      </c>
    </row>
    <row r="22" spans="1:21" x14ac:dyDescent="0.25">
      <c r="H22" s="17"/>
      <c r="I22" s="17"/>
      <c r="N22" s="38" t="s">
        <v>37</v>
      </c>
      <c r="O22" s="38"/>
      <c r="P22" s="38"/>
      <c r="Q22" s="9" t="s">
        <v>5</v>
      </c>
      <c r="R22" s="10" t="s">
        <v>7</v>
      </c>
      <c r="S22" s="8" t="s">
        <v>2</v>
      </c>
      <c r="T22" s="29">
        <v>27127.133000000002</v>
      </c>
    </row>
    <row r="23" spans="1:21" x14ac:dyDescent="0.25">
      <c r="A23" t="s">
        <v>17</v>
      </c>
      <c r="H23" s="17"/>
      <c r="I23" s="17"/>
    </row>
    <row r="24" spans="1:21" x14ac:dyDescent="0.25">
      <c r="H24" s="17"/>
      <c r="I24" s="17"/>
    </row>
    <row r="25" spans="1:21" x14ac:dyDescent="0.25">
      <c r="H25" s="17"/>
      <c r="I25" s="17"/>
    </row>
    <row r="26" spans="1:21" x14ac:dyDescent="0.25">
      <c r="H26" s="17"/>
      <c r="I26" s="17"/>
    </row>
    <row r="27" spans="1:21" x14ac:dyDescent="0.25">
      <c r="H27" s="17"/>
      <c r="I27" s="17"/>
    </row>
    <row r="28" spans="1:21" x14ac:dyDescent="0.25">
      <c r="H28" s="17"/>
      <c r="I28" s="17"/>
    </row>
    <row r="29" spans="1:21" x14ac:dyDescent="0.25">
      <c r="H29" s="17"/>
      <c r="I29" s="17"/>
    </row>
    <row r="30" spans="1:21" x14ac:dyDescent="0.25">
      <c r="H30" s="17"/>
      <c r="I30" s="17"/>
    </row>
    <row r="31" spans="1:21" x14ac:dyDescent="0.25">
      <c r="H31" s="17"/>
      <c r="I31" s="17"/>
    </row>
  </sheetData>
  <mergeCells count="4">
    <mergeCell ref="N19:P19"/>
    <mergeCell ref="N20:P20"/>
    <mergeCell ref="N21:P21"/>
    <mergeCell ref="N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80" zoomScaleNormal="80" workbookViewId="0">
      <pane xSplit="2" ySplit="3" topLeftCell="C4" activePane="bottomRight" state="frozen"/>
      <selection activeCell="Q4" sqref="Q4"/>
      <selection pane="topRight" activeCell="Q4" sqref="Q4"/>
      <selection pane="bottomLeft" activeCell="Q4" sqref="Q4"/>
      <selection pane="bottomRight" activeCell="E35" sqref="E35"/>
    </sheetView>
  </sheetViews>
  <sheetFormatPr defaultRowHeight="15" x14ac:dyDescent="0.25"/>
  <cols>
    <col min="1" max="1" width="10.85546875" bestFit="1" customWidth="1"/>
    <col min="2" max="2" width="14.42578125" customWidth="1"/>
    <col min="3" max="3" width="14.85546875" bestFit="1" customWidth="1"/>
    <col min="4" max="4" width="16.7109375" bestFit="1" customWidth="1"/>
    <col min="5" max="7" width="17" customWidth="1"/>
    <col min="8" max="8" width="14.140625" customWidth="1"/>
    <col min="9" max="9" width="15.28515625" customWidth="1"/>
    <col min="10" max="10" width="16.28515625" customWidth="1"/>
    <col min="11" max="11" width="17" customWidth="1"/>
    <col min="12" max="12" width="20" customWidth="1"/>
    <col min="13" max="13" width="19.28515625" customWidth="1"/>
    <col min="14" max="14" width="16.5703125" customWidth="1"/>
    <col min="15" max="15" width="16.7109375" customWidth="1"/>
    <col min="16" max="16" width="17.5703125" style="1" customWidth="1"/>
    <col min="17" max="17" width="20.42578125" customWidth="1"/>
    <col min="18" max="18" width="20.140625" customWidth="1"/>
    <col min="19" max="19" width="13" customWidth="1"/>
    <col min="20" max="20" width="14.42578125" customWidth="1"/>
    <col min="21" max="21" width="17" customWidth="1"/>
    <col min="22" max="22" width="16" bestFit="1" customWidth="1"/>
    <col min="23" max="23" width="13.7109375" bestFit="1" customWidth="1"/>
    <col min="24" max="24" width="14.5703125" bestFit="1" customWidth="1"/>
    <col min="25" max="25" width="11.7109375" bestFit="1" customWidth="1"/>
    <col min="26" max="26" width="16.7109375" bestFit="1" customWidth="1"/>
  </cols>
  <sheetData>
    <row r="1" spans="1:21" x14ac:dyDescent="0.25">
      <c r="B1" s="12" t="s">
        <v>6</v>
      </c>
      <c r="N1" t="s">
        <v>30</v>
      </c>
      <c r="O1" t="s">
        <v>31</v>
      </c>
      <c r="P1" s="1" t="s">
        <v>32</v>
      </c>
      <c r="Q1" t="s">
        <v>33</v>
      </c>
    </row>
    <row r="2" spans="1:21" x14ac:dyDescent="0.25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 t="s">
        <v>28</v>
      </c>
      <c r="M2" s="12" t="s">
        <v>29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  <c r="U2" s="12">
        <v>21</v>
      </c>
    </row>
    <row r="3" spans="1:21" s="2" customFormat="1" ht="90" customHeight="1" x14ac:dyDescent="0.25">
      <c r="A3" s="4" t="s">
        <v>41</v>
      </c>
      <c r="B3" s="11" t="s">
        <v>42</v>
      </c>
      <c r="C3" s="4" t="s">
        <v>43</v>
      </c>
      <c r="D3" s="11" t="s">
        <v>44</v>
      </c>
      <c r="E3" s="11" t="s">
        <v>45</v>
      </c>
      <c r="F3" s="11" t="s">
        <v>46</v>
      </c>
      <c r="G3" s="11" t="s">
        <v>47</v>
      </c>
      <c r="H3" s="4" t="s">
        <v>48</v>
      </c>
      <c r="I3" s="4" t="s">
        <v>49</v>
      </c>
      <c r="J3" s="4" t="s">
        <v>50</v>
      </c>
      <c r="K3" s="4" t="s">
        <v>51</v>
      </c>
      <c r="L3" s="4" t="s">
        <v>52</v>
      </c>
      <c r="M3" s="4" t="s">
        <v>53</v>
      </c>
      <c r="N3" s="4" t="s">
        <v>58</v>
      </c>
      <c r="O3" s="3" t="s">
        <v>54</v>
      </c>
      <c r="P3" s="4" t="s">
        <v>59</v>
      </c>
      <c r="Q3" s="4" t="s">
        <v>60</v>
      </c>
      <c r="R3" s="4"/>
      <c r="S3" s="4" t="s">
        <v>55</v>
      </c>
      <c r="T3" s="19" t="s">
        <v>56</v>
      </c>
      <c r="U3" s="20" t="s">
        <v>57</v>
      </c>
    </row>
    <row r="4" spans="1:21" x14ac:dyDescent="0.25">
      <c r="A4" s="18">
        <v>44805</v>
      </c>
      <c r="B4" s="15">
        <f t="shared" ref="B4:B16" si="0">C4-E4</f>
        <v>120000</v>
      </c>
      <c r="C4" s="13">
        <v>750000</v>
      </c>
      <c r="D4" s="13">
        <v>600000</v>
      </c>
      <c r="E4" s="13">
        <v>630000</v>
      </c>
      <c r="F4" s="13">
        <f>C4-H4</f>
        <v>0</v>
      </c>
      <c r="G4" s="13">
        <f>E4-I4</f>
        <v>630000</v>
      </c>
      <c r="H4" s="13">
        <v>750000</v>
      </c>
      <c r="I4" s="13">
        <v>0</v>
      </c>
      <c r="J4" s="13">
        <f>IF(H4-I4&gt;0,H4-I4,0)</f>
        <v>750000</v>
      </c>
      <c r="K4" s="13">
        <f>IF(I4-H4&gt;0,I4-H4,0)</f>
        <v>0</v>
      </c>
      <c r="L4" s="13">
        <f>F4+J4</f>
        <v>750000</v>
      </c>
      <c r="M4" s="13">
        <f>G4+K4</f>
        <v>630000</v>
      </c>
      <c r="N4" s="7">
        <f>IF($B4&gt;0,$M4*0.05,$L4*0.05)</f>
        <v>31500</v>
      </c>
      <c r="O4" s="7">
        <f t="shared" ref="O4:O16" si="1">D4-E4</f>
        <v>-30000</v>
      </c>
      <c r="P4" s="14">
        <f t="shared" ref="P4:P16" si="2">ABS(O4)</f>
        <v>30000</v>
      </c>
      <c r="Q4" s="7">
        <f>P4+N4</f>
        <v>61500</v>
      </c>
      <c r="R4" s="10" t="str">
        <f>IF(ABS(B4)&gt;Q4,"more than 5%","up to 5% inclusive")</f>
        <v>more than 5%</v>
      </c>
      <c r="S4" s="5" t="str">
        <f>IF(B4&lt;0,"MINUS","PLUS")</f>
        <v>PLUS</v>
      </c>
      <c r="T4" s="6">
        <f t="shared" ref="T4:T16" si="3">SUMIFS($T$19:$T$22,$S$19:$S$22,S4,$R$19:$R$22,R4)</f>
        <v>22194.927</v>
      </c>
      <c r="U4" s="7">
        <f>ROUND((B4*T4/1000),2)+ROUND(ROUND((B4*T4/1000),2)*0.2,2)</f>
        <v>3196069.49</v>
      </c>
    </row>
    <row r="5" spans="1:21" x14ac:dyDescent="0.25">
      <c r="A5" s="18">
        <v>44806</v>
      </c>
      <c r="B5" s="15">
        <f t="shared" si="0"/>
        <v>-10000</v>
      </c>
      <c r="C5" s="13">
        <v>500000</v>
      </c>
      <c r="D5" s="13">
        <v>600000</v>
      </c>
      <c r="E5" s="13">
        <v>510000</v>
      </c>
      <c r="F5" s="13">
        <f t="shared" ref="F5:F16" si="4">C5-H5</f>
        <v>0</v>
      </c>
      <c r="G5" s="13">
        <f t="shared" ref="G5:G16" si="5">E5-I5</f>
        <v>510000</v>
      </c>
      <c r="H5" s="13">
        <v>500000</v>
      </c>
      <c r="I5" s="13">
        <v>0</v>
      </c>
      <c r="J5" s="13">
        <f t="shared" ref="J5:J16" si="6">IF(H5-I5&gt;0,H5-I5,0)</f>
        <v>500000</v>
      </c>
      <c r="K5" s="13">
        <f t="shared" ref="K5:K16" si="7">IF(I5-H5&gt;0,I5-H5,0)</f>
        <v>0</v>
      </c>
      <c r="L5" s="13">
        <f t="shared" ref="L5:M16" si="8">F5+J5</f>
        <v>500000</v>
      </c>
      <c r="M5" s="13">
        <f t="shared" si="8"/>
        <v>510000</v>
      </c>
      <c r="N5" s="7">
        <f t="shared" ref="N5:N16" si="9">IF($B5&gt;0,$M5*0.05,$L5*0.05)</f>
        <v>25000</v>
      </c>
      <c r="O5" s="7">
        <f>D5-E5</f>
        <v>90000</v>
      </c>
      <c r="P5" s="14">
        <f t="shared" si="2"/>
        <v>90000</v>
      </c>
      <c r="Q5" s="7">
        <f t="shared" ref="Q5:Q16" si="10">P5+N5</f>
        <v>115000</v>
      </c>
      <c r="R5" s="10" t="str">
        <f t="shared" ref="R5:R16" si="11">IF(ABS(B5)&gt;Q5,"more than 5%","up to 5% inclusive")</f>
        <v>up to 5% inclusive</v>
      </c>
      <c r="S5" s="5" t="str">
        <f t="shared" ref="S5:S16" si="12">IF(B5&lt;0,"MINUS","PLUS")</f>
        <v>MINUS</v>
      </c>
      <c r="T5" s="6">
        <f t="shared" si="3"/>
        <v>24661.03</v>
      </c>
      <c r="U5" s="7">
        <f>ROUND((B5*T5/1000),2)+ROUND(ROUND((B5*T5/1000),2)*0.2,2)</f>
        <v>-295932.36</v>
      </c>
    </row>
    <row r="6" spans="1:21" x14ac:dyDescent="0.25">
      <c r="A6" s="18">
        <v>44807</v>
      </c>
      <c r="B6" s="15">
        <f t="shared" si="0"/>
        <v>-20000</v>
      </c>
      <c r="C6" s="13">
        <v>588000</v>
      </c>
      <c r="D6" s="13">
        <v>620000</v>
      </c>
      <c r="E6" s="13">
        <v>608000</v>
      </c>
      <c r="F6" s="13">
        <f t="shared" si="4"/>
        <v>200000</v>
      </c>
      <c r="G6" s="13">
        <f t="shared" si="5"/>
        <v>608000</v>
      </c>
      <c r="H6" s="13">
        <v>388000</v>
      </c>
      <c r="I6" s="13">
        <v>0</v>
      </c>
      <c r="J6" s="13">
        <f t="shared" si="6"/>
        <v>388000</v>
      </c>
      <c r="K6" s="13">
        <f t="shared" si="7"/>
        <v>0</v>
      </c>
      <c r="L6" s="13">
        <f t="shared" si="8"/>
        <v>588000</v>
      </c>
      <c r="M6" s="13">
        <f t="shared" si="8"/>
        <v>608000</v>
      </c>
      <c r="N6" s="7">
        <f t="shared" si="9"/>
        <v>29400</v>
      </c>
      <c r="O6" s="7">
        <f t="shared" si="1"/>
        <v>12000</v>
      </c>
      <c r="P6" s="14">
        <f t="shared" si="2"/>
        <v>12000</v>
      </c>
      <c r="Q6" s="7">
        <f t="shared" si="10"/>
        <v>41400</v>
      </c>
      <c r="R6" s="10" t="str">
        <f t="shared" si="11"/>
        <v>up to 5% inclusive</v>
      </c>
      <c r="S6" s="5" t="str">
        <f t="shared" si="12"/>
        <v>MINUS</v>
      </c>
      <c r="T6" s="6">
        <f t="shared" si="3"/>
        <v>24661.03</v>
      </c>
      <c r="U6" s="7">
        <f t="shared" ref="U6:U16" si="13">ROUND((B6*T6/1000),2)+ROUND(ROUND((B6*T6/1000),2)*0.2,2)</f>
        <v>-591864.72</v>
      </c>
    </row>
    <row r="7" spans="1:21" x14ac:dyDescent="0.25">
      <c r="A7" s="18">
        <v>44808</v>
      </c>
      <c r="B7" s="15">
        <f t="shared" si="0"/>
        <v>10000</v>
      </c>
      <c r="C7" s="13">
        <v>600000</v>
      </c>
      <c r="D7" s="13">
        <v>580000</v>
      </c>
      <c r="E7" s="13">
        <v>590000</v>
      </c>
      <c r="F7" s="13">
        <f t="shared" si="4"/>
        <v>0</v>
      </c>
      <c r="G7" s="13">
        <f t="shared" si="5"/>
        <v>590000</v>
      </c>
      <c r="H7" s="13">
        <v>600000</v>
      </c>
      <c r="I7" s="13">
        <v>0</v>
      </c>
      <c r="J7" s="13">
        <f t="shared" si="6"/>
        <v>600000</v>
      </c>
      <c r="K7" s="13">
        <f t="shared" si="7"/>
        <v>0</v>
      </c>
      <c r="L7" s="13">
        <f t="shared" si="8"/>
        <v>600000</v>
      </c>
      <c r="M7" s="13">
        <f t="shared" si="8"/>
        <v>590000</v>
      </c>
      <c r="N7" s="7">
        <f>IF($B7&gt;0,$M7*0.05,$L7*0.05)</f>
        <v>29500</v>
      </c>
      <c r="O7" s="7">
        <f t="shared" si="1"/>
        <v>-10000</v>
      </c>
      <c r="P7" s="14">
        <f t="shared" si="2"/>
        <v>10000</v>
      </c>
      <c r="Q7" s="7">
        <f t="shared" si="10"/>
        <v>39500</v>
      </c>
      <c r="R7" s="10" t="str">
        <f t="shared" si="11"/>
        <v>up to 5% inclusive</v>
      </c>
      <c r="S7" s="5" t="str">
        <f t="shared" si="12"/>
        <v>PLUS</v>
      </c>
      <c r="T7" s="6">
        <f t="shared" si="3"/>
        <v>24661.03</v>
      </c>
      <c r="U7" s="7">
        <f>ROUND((B7*T7/1000),2)+ROUND(ROUND((B7*T7/1000),2)*0.2,2)</f>
        <v>295932.36</v>
      </c>
    </row>
    <row r="8" spans="1:21" ht="14.25" customHeight="1" x14ac:dyDescent="0.25">
      <c r="A8" s="18">
        <v>44809</v>
      </c>
      <c r="B8" s="15">
        <f t="shared" si="0"/>
        <v>30000</v>
      </c>
      <c r="C8" s="13">
        <v>600000</v>
      </c>
      <c r="D8" s="13">
        <v>580000</v>
      </c>
      <c r="E8" s="13">
        <v>570000</v>
      </c>
      <c r="F8" s="13">
        <f t="shared" si="4"/>
        <v>0</v>
      </c>
      <c r="G8" s="13">
        <f t="shared" si="5"/>
        <v>505000</v>
      </c>
      <c r="H8" s="13">
        <v>600000</v>
      </c>
      <c r="I8" s="13">
        <v>65000</v>
      </c>
      <c r="J8" s="13">
        <f t="shared" si="6"/>
        <v>535000</v>
      </c>
      <c r="K8" s="13">
        <f t="shared" si="7"/>
        <v>0</v>
      </c>
      <c r="L8" s="13">
        <f t="shared" si="8"/>
        <v>535000</v>
      </c>
      <c r="M8" s="13">
        <f t="shared" si="8"/>
        <v>505000</v>
      </c>
      <c r="N8" s="7">
        <f t="shared" si="9"/>
        <v>25250</v>
      </c>
      <c r="O8" s="7">
        <f t="shared" si="1"/>
        <v>10000</v>
      </c>
      <c r="P8" s="14">
        <f t="shared" si="2"/>
        <v>10000</v>
      </c>
      <c r="Q8" s="7">
        <f t="shared" si="10"/>
        <v>35250</v>
      </c>
      <c r="R8" s="10" t="str">
        <f t="shared" si="11"/>
        <v>up to 5% inclusive</v>
      </c>
      <c r="S8" s="5" t="str">
        <f t="shared" si="12"/>
        <v>PLUS</v>
      </c>
      <c r="T8" s="6">
        <f t="shared" si="3"/>
        <v>24661.03</v>
      </c>
      <c r="U8" s="7">
        <f t="shared" si="13"/>
        <v>887797.08000000007</v>
      </c>
    </row>
    <row r="9" spans="1:21" x14ac:dyDescent="0.25">
      <c r="A9" s="18">
        <v>44810</v>
      </c>
      <c r="B9" s="15">
        <f t="shared" si="0"/>
        <v>180000</v>
      </c>
      <c r="C9" s="13">
        <v>600000</v>
      </c>
      <c r="D9" s="13">
        <v>400000</v>
      </c>
      <c r="E9" s="13">
        <v>420000</v>
      </c>
      <c r="F9" s="13">
        <f t="shared" si="4"/>
        <v>0</v>
      </c>
      <c r="G9" s="13">
        <f t="shared" si="5"/>
        <v>0</v>
      </c>
      <c r="H9" s="13">
        <v>600000</v>
      </c>
      <c r="I9" s="13">
        <v>420000</v>
      </c>
      <c r="J9" s="13">
        <f t="shared" si="6"/>
        <v>180000</v>
      </c>
      <c r="K9" s="13">
        <f t="shared" si="7"/>
        <v>0</v>
      </c>
      <c r="L9" s="13">
        <f t="shared" si="8"/>
        <v>180000</v>
      </c>
      <c r="M9" s="13">
        <f t="shared" si="8"/>
        <v>0</v>
      </c>
      <c r="N9" s="7">
        <f t="shared" si="9"/>
        <v>0</v>
      </c>
      <c r="O9" s="7">
        <f t="shared" si="1"/>
        <v>-20000</v>
      </c>
      <c r="P9" s="14">
        <f t="shared" si="2"/>
        <v>20000</v>
      </c>
      <c r="Q9" s="7">
        <f t="shared" si="10"/>
        <v>20000</v>
      </c>
      <c r="R9" s="10" t="str">
        <f t="shared" si="11"/>
        <v>more than 5%</v>
      </c>
      <c r="S9" s="5" t="str">
        <f t="shared" si="12"/>
        <v>PLUS</v>
      </c>
      <c r="T9" s="6">
        <f t="shared" si="3"/>
        <v>22194.927</v>
      </c>
      <c r="U9" s="7">
        <f t="shared" si="13"/>
        <v>4794104.2299999995</v>
      </c>
    </row>
    <row r="10" spans="1:21" x14ac:dyDescent="0.25">
      <c r="A10" s="18">
        <v>44811</v>
      </c>
      <c r="B10" s="15">
        <f t="shared" si="0"/>
        <v>10000</v>
      </c>
      <c r="C10" s="13">
        <v>600000</v>
      </c>
      <c r="D10" s="13">
        <v>580000</v>
      </c>
      <c r="E10" s="13">
        <v>590000</v>
      </c>
      <c r="F10" s="13">
        <f t="shared" si="4"/>
        <v>600000</v>
      </c>
      <c r="G10" s="13">
        <f t="shared" si="5"/>
        <v>0</v>
      </c>
      <c r="H10" s="13">
        <v>0</v>
      </c>
      <c r="I10" s="13">
        <v>590000</v>
      </c>
      <c r="J10" s="13">
        <f t="shared" si="6"/>
        <v>0</v>
      </c>
      <c r="K10" s="13">
        <f t="shared" si="7"/>
        <v>590000</v>
      </c>
      <c r="L10" s="13">
        <f t="shared" si="8"/>
        <v>600000</v>
      </c>
      <c r="M10" s="13">
        <f t="shared" si="8"/>
        <v>590000</v>
      </c>
      <c r="N10" s="7">
        <f t="shared" si="9"/>
        <v>29500</v>
      </c>
      <c r="O10" s="7">
        <f t="shared" si="1"/>
        <v>-10000</v>
      </c>
      <c r="P10" s="14">
        <f t="shared" si="2"/>
        <v>10000</v>
      </c>
      <c r="Q10" s="7">
        <f t="shared" si="10"/>
        <v>39500</v>
      </c>
      <c r="R10" s="10" t="str">
        <f t="shared" si="11"/>
        <v>up to 5% inclusive</v>
      </c>
      <c r="S10" s="5" t="str">
        <f t="shared" si="12"/>
        <v>PLUS</v>
      </c>
      <c r="T10" s="6">
        <f t="shared" si="3"/>
        <v>24661.03</v>
      </c>
      <c r="U10" s="7">
        <f t="shared" si="13"/>
        <v>295932.36</v>
      </c>
    </row>
    <row r="11" spans="1:21" x14ac:dyDescent="0.25">
      <c r="A11" s="18">
        <v>44812</v>
      </c>
      <c r="B11" s="15">
        <f t="shared" si="0"/>
        <v>10000</v>
      </c>
      <c r="C11" s="13">
        <v>600000</v>
      </c>
      <c r="D11" s="13">
        <v>580000</v>
      </c>
      <c r="E11" s="13">
        <v>590000</v>
      </c>
      <c r="F11" s="13">
        <f t="shared" si="4"/>
        <v>600000</v>
      </c>
      <c r="G11" s="13">
        <f t="shared" si="5"/>
        <v>200000</v>
      </c>
      <c r="H11" s="13">
        <v>0</v>
      </c>
      <c r="I11" s="13">
        <v>390000</v>
      </c>
      <c r="J11" s="13">
        <f t="shared" si="6"/>
        <v>0</v>
      </c>
      <c r="K11" s="13">
        <f t="shared" si="7"/>
        <v>390000</v>
      </c>
      <c r="L11" s="13">
        <f t="shared" si="8"/>
        <v>600000</v>
      </c>
      <c r="M11" s="13">
        <f t="shared" si="8"/>
        <v>590000</v>
      </c>
      <c r="N11" s="7">
        <f t="shared" si="9"/>
        <v>29500</v>
      </c>
      <c r="O11" s="7">
        <f t="shared" si="1"/>
        <v>-10000</v>
      </c>
      <c r="P11" s="14">
        <f t="shared" si="2"/>
        <v>10000</v>
      </c>
      <c r="Q11" s="7">
        <f t="shared" si="10"/>
        <v>39500</v>
      </c>
      <c r="R11" s="10" t="str">
        <f t="shared" si="11"/>
        <v>up to 5% inclusive</v>
      </c>
      <c r="S11" s="5" t="str">
        <f t="shared" si="12"/>
        <v>PLUS</v>
      </c>
      <c r="T11" s="6">
        <f t="shared" si="3"/>
        <v>24661.03</v>
      </c>
      <c r="U11" s="7">
        <f t="shared" si="13"/>
        <v>295932.36</v>
      </c>
    </row>
    <row r="12" spans="1:21" x14ac:dyDescent="0.25">
      <c r="A12" s="18">
        <v>44813</v>
      </c>
      <c r="B12" s="15">
        <f t="shared" si="0"/>
        <v>-18000</v>
      </c>
      <c r="C12" s="13">
        <v>600000</v>
      </c>
      <c r="D12" s="13">
        <v>620000</v>
      </c>
      <c r="E12" s="13">
        <v>618000</v>
      </c>
      <c r="F12" s="13">
        <f t="shared" si="4"/>
        <v>600000</v>
      </c>
      <c r="G12" s="13">
        <f t="shared" si="5"/>
        <v>0</v>
      </c>
      <c r="H12" s="13">
        <v>0</v>
      </c>
      <c r="I12" s="13">
        <v>618000</v>
      </c>
      <c r="J12" s="13">
        <f t="shared" si="6"/>
        <v>0</v>
      </c>
      <c r="K12" s="13">
        <f t="shared" si="7"/>
        <v>618000</v>
      </c>
      <c r="L12" s="13">
        <f t="shared" si="8"/>
        <v>600000</v>
      </c>
      <c r="M12" s="13">
        <f t="shared" si="8"/>
        <v>618000</v>
      </c>
      <c r="N12" s="7">
        <f t="shared" si="9"/>
        <v>30000</v>
      </c>
      <c r="O12" s="7">
        <f t="shared" si="1"/>
        <v>2000</v>
      </c>
      <c r="P12" s="14">
        <f t="shared" si="2"/>
        <v>2000</v>
      </c>
      <c r="Q12" s="7">
        <f t="shared" si="10"/>
        <v>32000</v>
      </c>
      <c r="R12" s="10" t="str">
        <f t="shared" si="11"/>
        <v>up to 5% inclusive</v>
      </c>
      <c r="S12" s="5" t="str">
        <f t="shared" si="12"/>
        <v>MINUS</v>
      </c>
      <c r="T12" s="6">
        <f t="shared" si="3"/>
        <v>24661.03</v>
      </c>
      <c r="U12" s="7">
        <f t="shared" si="13"/>
        <v>-532678.25</v>
      </c>
    </row>
    <row r="13" spans="1:21" x14ac:dyDescent="0.25">
      <c r="A13" s="18">
        <v>44814</v>
      </c>
      <c r="B13" s="15">
        <f t="shared" si="0"/>
        <v>-5000</v>
      </c>
      <c r="C13" s="13">
        <v>600000</v>
      </c>
      <c r="D13" s="13">
        <v>605000</v>
      </c>
      <c r="E13" s="13">
        <v>605000</v>
      </c>
      <c r="F13" s="13">
        <f t="shared" si="4"/>
        <v>600000</v>
      </c>
      <c r="G13" s="13">
        <f t="shared" si="5"/>
        <v>0</v>
      </c>
      <c r="H13" s="13">
        <v>0</v>
      </c>
      <c r="I13" s="13">
        <v>605000</v>
      </c>
      <c r="J13" s="13">
        <f t="shared" si="6"/>
        <v>0</v>
      </c>
      <c r="K13" s="13">
        <f t="shared" si="7"/>
        <v>605000</v>
      </c>
      <c r="L13" s="13">
        <f t="shared" si="8"/>
        <v>600000</v>
      </c>
      <c r="M13" s="13">
        <f t="shared" si="8"/>
        <v>605000</v>
      </c>
      <c r="N13" s="7">
        <f t="shared" si="9"/>
        <v>30000</v>
      </c>
      <c r="O13" s="7">
        <f t="shared" si="1"/>
        <v>0</v>
      </c>
      <c r="P13" s="14">
        <f t="shared" si="2"/>
        <v>0</v>
      </c>
      <c r="Q13" s="7">
        <f t="shared" si="10"/>
        <v>30000</v>
      </c>
      <c r="R13" s="10" t="str">
        <f t="shared" si="11"/>
        <v>up to 5% inclusive</v>
      </c>
      <c r="S13" s="5" t="str">
        <f t="shared" si="12"/>
        <v>MINUS</v>
      </c>
      <c r="T13" s="6">
        <f t="shared" si="3"/>
        <v>24661.03</v>
      </c>
      <c r="U13" s="7">
        <f t="shared" si="13"/>
        <v>-147966.18</v>
      </c>
    </row>
    <row r="14" spans="1:21" x14ac:dyDescent="0.25">
      <c r="A14" s="18">
        <v>44815</v>
      </c>
      <c r="B14" s="16">
        <f t="shared" si="0"/>
        <v>-150000</v>
      </c>
      <c r="C14" s="13">
        <v>600000</v>
      </c>
      <c r="D14" s="13">
        <v>750000</v>
      </c>
      <c r="E14" s="13">
        <v>750000</v>
      </c>
      <c r="F14" s="13">
        <f t="shared" si="4"/>
        <v>600000</v>
      </c>
      <c r="G14" s="13">
        <f t="shared" si="5"/>
        <v>0</v>
      </c>
      <c r="H14" s="13">
        <v>0</v>
      </c>
      <c r="I14" s="13">
        <v>750000</v>
      </c>
      <c r="J14" s="13">
        <f t="shared" si="6"/>
        <v>0</v>
      </c>
      <c r="K14" s="13">
        <f t="shared" si="7"/>
        <v>750000</v>
      </c>
      <c r="L14" s="13">
        <f t="shared" si="8"/>
        <v>600000</v>
      </c>
      <c r="M14" s="13">
        <f t="shared" si="8"/>
        <v>750000</v>
      </c>
      <c r="N14" s="7">
        <f t="shared" si="9"/>
        <v>30000</v>
      </c>
      <c r="O14" s="7">
        <f t="shared" si="1"/>
        <v>0</v>
      </c>
      <c r="P14" s="14">
        <f t="shared" si="2"/>
        <v>0</v>
      </c>
      <c r="Q14" s="7">
        <f t="shared" si="10"/>
        <v>30000</v>
      </c>
      <c r="R14" s="10" t="str">
        <f t="shared" si="11"/>
        <v>more than 5%</v>
      </c>
      <c r="S14" s="5" t="str">
        <f t="shared" si="12"/>
        <v>MINUS</v>
      </c>
      <c r="T14" s="6">
        <f t="shared" si="3"/>
        <v>27127.133000000002</v>
      </c>
      <c r="U14" s="7">
        <f t="shared" si="13"/>
        <v>-4882883.9400000004</v>
      </c>
    </row>
    <row r="15" spans="1:21" x14ac:dyDescent="0.25">
      <c r="A15" s="18">
        <v>44816</v>
      </c>
      <c r="B15" s="16">
        <f t="shared" si="0"/>
        <v>-80000</v>
      </c>
      <c r="C15" s="13">
        <v>770000</v>
      </c>
      <c r="D15" s="13">
        <v>800000</v>
      </c>
      <c r="E15" s="13">
        <v>850000</v>
      </c>
      <c r="F15" s="13">
        <f t="shared" si="4"/>
        <v>600000</v>
      </c>
      <c r="G15" s="13">
        <f t="shared" si="5"/>
        <v>0</v>
      </c>
      <c r="H15" s="13">
        <v>170000</v>
      </c>
      <c r="I15" s="13">
        <v>850000</v>
      </c>
      <c r="J15" s="13">
        <f t="shared" si="6"/>
        <v>0</v>
      </c>
      <c r="K15" s="13">
        <f t="shared" si="7"/>
        <v>680000</v>
      </c>
      <c r="L15" s="13">
        <f t="shared" si="8"/>
        <v>600000</v>
      </c>
      <c r="M15" s="13">
        <f t="shared" si="8"/>
        <v>680000</v>
      </c>
      <c r="N15" s="7">
        <f t="shared" si="9"/>
        <v>30000</v>
      </c>
      <c r="O15" s="7">
        <f t="shared" si="1"/>
        <v>-50000</v>
      </c>
      <c r="P15" s="14">
        <f t="shared" si="2"/>
        <v>50000</v>
      </c>
      <c r="Q15" s="7">
        <f t="shared" si="10"/>
        <v>80000</v>
      </c>
      <c r="R15" s="10" t="str">
        <f t="shared" si="11"/>
        <v>up to 5% inclusive</v>
      </c>
      <c r="S15" s="5" t="str">
        <f t="shared" si="12"/>
        <v>MINUS</v>
      </c>
      <c r="T15" s="6">
        <f t="shared" si="3"/>
        <v>24661.03</v>
      </c>
      <c r="U15" s="7">
        <f t="shared" si="13"/>
        <v>-2367458.88</v>
      </c>
    </row>
    <row r="16" spans="1:21" x14ac:dyDescent="0.25">
      <c r="A16" s="18">
        <v>44817</v>
      </c>
      <c r="B16" s="15">
        <f t="shared" si="0"/>
        <v>-150000</v>
      </c>
      <c r="C16" s="13">
        <v>600000</v>
      </c>
      <c r="D16" s="13">
        <v>800000</v>
      </c>
      <c r="E16" s="13">
        <v>750000</v>
      </c>
      <c r="F16" s="13">
        <f t="shared" si="4"/>
        <v>600000</v>
      </c>
      <c r="G16" s="13">
        <f t="shared" si="5"/>
        <v>0</v>
      </c>
      <c r="H16" s="13">
        <v>0</v>
      </c>
      <c r="I16" s="13">
        <v>750000</v>
      </c>
      <c r="J16" s="13">
        <f t="shared" si="6"/>
        <v>0</v>
      </c>
      <c r="K16" s="13">
        <f t="shared" si="7"/>
        <v>750000</v>
      </c>
      <c r="L16" s="13">
        <f t="shared" si="8"/>
        <v>600000</v>
      </c>
      <c r="M16" s="13">
        <f t="shared" si="8"/>
        <v>750000</v>
      </c>
      <c r="N16" s="7">
        <f t="shared" si="9"/>
        <v>30000</v>
      </c>
      <c r="O16" s="7">
        <f t="shared" si="1"/>
        <v>50000</v>
      </c>
      <c r="P16" s="14">
        <f t="shared" si="2"/>
        <v>50000</v>
      </c>
      <c r="Q16" s="7">
        <f t="shared" si="10"/>
        <v>80000</v>
      </c>
      <c r="R16" s="10" t="str">
        <f t="shared" si="11"/>
        <v>more than 5%</v>
      </c>
      <c r="S16" s="5" t="str">
        <f t="shared" si="12"/>
        <v>MINUS</v>
      </c>
      <c r="T16" s="6">
        <f t="shared" si="3"/>
        <v>27127.133000000002</v>
      </c>
      <c r="U16" s="7">
        <f t="shared" si="13"/>
        <v>-4882883.9400000004</v>
      </c>
    </row>
    <row r="17" spans="1:21" ht="30" x14ac:dyDescent="0.2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36" t="s">
        <v>64</v>
      </c>
      <c r="M17" s="36" t="s">
        <v>65</v>
      </c>
      <c r="N17" s="24"/>
      <c r="O17" s="24"/>
      <c r="P17" s="25"/>
      <c r="Q17" s="24"/>
      <c r="R17" s="26"/>
      <c r="S17" s="27"/>
      <c r="T17" s="28"/>
      <c r="U17" s="24"/>
    </row>
    <row r="18" spans="1:21" x14ac:dyDescent="0.25">
      <c r="A18" t="s">
        <v>61</v>
      </c>
    </row>
    <row r="19" spans="1:21" x14ac:dyDescent="0.25">
      <c r="A19" t="s">
        <v>62</v>
      </c>
      <c r="H19" s="17"/>
      <c r="I19" s="17"/>
      <c r="N19" s="40" t="s">
        <v>66</v>
      </c>
      <c r="O19" s="40"/>
      <c r="P19" s="41"/>
      <c r="Q19" s="9" t="s">
        <v>71</v>
      </c>
      <c r="R19" s="10" t="s">
        <v>72</v>
      </c>
      <c r="S19" s="8" t="s">
        <v>69</v>
      </c>
      <c r="T19" s="29">
        <v>22194.927</v>
      </c>
    </row>
    <row r="20" spans="1:21" s="2" customFormat="1" ht="30.75" customHeight="1" x14ac:dyDescent="0.25">
      <c r="A20"/>
      <c r="H20" s="30"/>
      <c r="I20" s="30"/>
      <c r="M20" s="35"/>
      <c r="N20" s="42" t="s">
        <v>67</v>
      </c>
      <c r="O20" s="42"/>
      <c r="P20" s="43"/>
      <c r="Q20" s="31" t="s">
        <v>73</v>
      </c>
      <c r="R20" s="32" t="s">
        <v>74</v>
      </c>
      <c r="S20" s="8" t="s">
        <v>69</v>
      </c>
      <c r="T20" s="34">
        <v>24661.03</v>
      </c>
    </row>
    <row r="21" spans="1:21" s="2" customFormat="1" ht="30.75" customHeight="1" x14ac:dyDescent="0.25">
      <c r="A21"/>
      <c r="H21" s="30"/>
      <c r="I21" s="30"/>
      <c r="M21" s="35"/>
      <c r="N21" s="42" t="s">
        <v>67</v>
      </c>
      <c r="O21" s="42"/>
      <c r="P21" s="43"/>
      <c r="Q21" s="31" t="s">
        <v>73</v>
      </c>
      <c r="R21" s="32" t="s">
        <v>74</v>
      </c>
      <c r="S21" s="8" t="s">
        <v>70</v>
      </c>
      <c r="T21" s="34">
        <v>24661.03</v>
      </c>
    </row>
    <row r="22" spans="1:21" x14ac:dyDescent="0.25">
      <c r="H22" s="17"/>
      <c r="I22" s="17"/>
      <c r="N22" s="40" t="s">
        <v>68</v>
      </c>
      <c r="O22" s="40"/>
      <c r="P22" s="41"/>
      <c r="Q22" s="9" t="s">
        <v>71</v>
      </c>
      <c r="R22" s="10" t="s">
        <v>72</v>
      </c>
      <c r="S22" s="8" t="s">
        <v>70</v>
      </c>
      <c r="T22" s="29">
        <v>27127.133000000002</v>
      </c>
    </row>
    <row r="23" spans="1:21" x14ac:dyDescent="0.25">
      <c r="H23" s="17"/>
      <c r="I23" s="17"/>
    </row>
    <row r="24" spans="1:21" x14ac:dyDescent="0.25">
      <c r="A24" s="37" t="s">
        <v>63</v>
      </c>
      <c r="H24" s="17"/>
      <c r="I24" s="17"/>
    </row>
    <row r="25" spans="1:21" x14ac:dyDescent="0.25">
      <c r="H25" s="17"/>
      <c r="I25" s="17"/>
    </row>
  </sheetData>
  <mergeCells count="4">
    <mergeCell ref="N19:P19"/>
    <mergeCell ref="N20:P20"/>
    <mergeCell ref="N21:P21"/>
    <mergeCell ref="N22:P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ЗПТ UA</vt:lpstr>
      <vt:lpstr>CLIENTS EN</vt:lpstr>
    </vt:vector>
  </TitlesOfParts>
  <Company>utg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Віра Вікторівна</cp:lastModifiedBy>
  <cp:lastPrinted>2019-04-08T12:43:30Z</cp:lastPrinted>
  <dcterms:created xsi:type="dcterms:W3CDTF">2019-03-05T17:33:28Z</dcterms:created>
  <dcterms:modified xsi:type="dcterms:W3CDTF">2022-12-13T08:01:41Z</dcterms:modified>
</cp:coreProperties>
</file>